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/>
  <mc:AlternateContent xmlns:mc="http://schemas.openxmlformats.org/markup-compatibility/2006">
    <mc:Choice Requires="x15">
      <x15ac:absPath xmlns:x15ac="http://schemas.microsoft.com/office/spreadsheetml/2010/11/ac" url="S:\Mandatory Student Fees\FY22\"/>
    </mc:Choice>
  </mc:AlternateContent>
  <xr:revisionPtr revIDLastSave="0" documentId="13_ncr:1_{824740AA-BBFD-46CB-83F2-B3BFB1971208}" xr6:coauthVersionLast="36" xr6:coauthVersionMax="36" xr10:uidLastSave="{00000000-0000-0000-0000-000000000000}"/>
  <bookViews>
    <workbookView xWindow="0" yWindow="0" windowWidth="0" windowHeight="0" firstSheet="1" activeTab="1" xr2:uid="{00000000-000D-0000-FFFF-FFFF00000000}"/>
  </bookViews>
  <sheets>
    <sheet name="FY20 Student Fees_BudgetBook" sheetId="4" state="hidden" r:id="rId1"/>
    <sheet name="FY22_Requests" sheetId="7" r:id="rId2"/>
    <sheet name="FY19 Student Fees" sheetId="1" state="hidden" r:id="rId3"/>
  </sheets>
  <externalReferences>
    <externalReference r:id="rId4"/>
  </externalReferences>
  <definedNames>
    <definedName name="_xlnm._FilterDatabase" localSheetId="2" hidden="1">'FY19 Student Fees'!$A$13:$F$66</definedName>
    <definedName name="_xlnm._FilterDatabase" localSheetId="0" hidden="1">'FY20 Student Fees_BudgetBook'!$A$12:$F$76</definedName>
    <definedName name="_xlnm._FilterDatabase" localSheetId="1" hidden="1">FY22_Requests!$A$13:$D$80</definedName>
    <definedName name="_xlnm.Print_Area" localSheetId="2">'FY19 Student Fees'!$C$1:$R$67</definedName>
    <definedName name="_xlnm.Print_Area" localSheetId="0">'FY20 Student Fees_BudgetBook'!$C$1:$S$77</definedName>
    <definedName name="_xlnm.Print_Area" localSheetId="1">FY22_Requests!$D$1:$S$80</definedName>
    <definedName name="_xlnm.Print_Area">[1]AdmOH!#REF!</definedName>
    <definedName name="_xlnm.Print_Titles" localSheetId="2">'FY19 Student Fees'!$1:$13</definedName>
    <definedName name="_xlnm.Print_Titles" localSheetId="0">'FY20 Student Fees_BudgetBook'!$1:$12</definedName>
    <definedName name="_xlnm.Print_Titles" localSheetId="1">FY22_Requests!$1:$13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7" l="1"/>
  <c r="M66" i="7"/>
  <c r="K79" i="7"/>
  <c r="K80" i="7"/>
  <c r="K64" i="7"/>
  <c r="N64" i="7"/>
  <c r="M79" i="7"/>
  <c r="N79" i="7" s="1"/>
  <c r="F80" i="7"/>
  <c r="G80" i="7"/>
  <c r="H80" i="7"/>
  <c r="J80" i="7"/>
  <c r="E80" i="7"/>
  <c r="M80" i="7" l="1"/>
  <c r="N80" i="7" s="1"/>
  <c r="N49" i="7" l="1"/>
  <c r="L49" i="7"/>
  <c r="L50" i="7" l="1"/>
  <c r="L58" i="7" s="1"/>
  <c r="L64" i="7" s="1"/>
  <c r="M48" i="7" l="1"/>
  <c r="M47" i="7"/>
  <c r="G48" i="7"/>
  <c r="H48" i="7" s="1"/>
  <c r="L79" i="7" l="1"/>
  <c r="I79" i="7"/>
  <c r="I80" i="7" s="1"/>
  <c r="M67" i="7"/>
  <c r="M68" i="7"/>
  <c r="M69" i="7"/>
  <c r="M70" i="7"/>
  <c r="M71" i="7"/>
  <c r="M72" i="7"/>
  <c r="M73" i="7"/>
  <c r="M74" i="7"/>
  <c r="M75" i="7"/>
  <c r="M76" i="7"/>
  <c r="M77" i="7"/>
  <c r="M78" i="7"/>
  <c r="N66" i="7"/>
  <c r="M63" i="7"/>
  <c r="N63" i="7" s="1"/>
  <c r="M53" i="7"/>
  <c r="N53" i="7" s="1"/>
  <c r="M56" i="7"/>
  <c r="N56" i="7" s="1"/>
  <c r="M57" i="7"/>
  <c r="N57" i="7" s="1"/>
  <c r="M52" i="7"/>
  <c r="N52" i="7" s="1"/>
  <c r="N45" i="7"/>
  <c r="N47" i="7"/>
  <c r="J18" i="7"/>
  <c r="M18" i="7" s="1"/>
  <c r="N18" i="7" s="1"/>
  <c r="K16" i="7"/>
  <c r="M16" i="7"/>
  <c r="N16" i="7" s="1"/>
  <c r="M17" i="7"/>
  <c r="N17" i="7" s="1"/>
  <c r="M19" i="7"/>
  <c r="N19" i="7" s="1"/>
  <c r="M20" i="7"/>
  <c r="N20" i="7" s="1"/>
  <c r="M21" i="7"/>
  <c r="N21" i="7" s="1"/>
  <c r="M22" i="7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M46" i="7"/>
  <c r="N46" i="7" s="1"/>
  <c r="N22" i="7" l="1"/>
  <c r="M15" i="7" l="1"/>
  <c r="J50" i="7"/>
  <c r="K92" i="7"/>
  <c r="K15" i="7"/>
  <c r="N15" i="7" l="1"/>
  <c r="M50" i="7"/>
  <c r="J58" i="7"/>
  <c r="M93" i="7" l="1"/>
  <c r="M58" i="7"/>
  <c r="N50" i="7"/>
  <c r="F70" i="7"/>
  <c r="F71" i="7"/>
  <c r="F72" i="7"/>
  <c r="F73" i="7"/>
  <c r="F69" i="7"/>
  <c r="G49" i="7"/>
  <c r="F50" i="7"/>
  <c r="E49" i="7"/>
  <c r="F58" i="7" l="1"/>
  <c r="K50" i="7"/>
  <c r="N58" i="7"/>
  <c r="G63" i="7"/>
  <c r="G62" i="7"/>
  <c r="G61" i="7"/>
  <c r="G53" i="7"/>
  <c r="G52" i="7"/>
  <c r="G47" i="7"/>
  <c r="G46" i="7"/>
  <c r="G45" i="7"/>
  <c r="G44" i="7"/>
  <c r="G43" i="7"/>
  <c r="G41" i="7"/>
  <c r="G40" i="7"/>
  <c r="G39" i="7"/>
  <c r="G38" i="7"/>
  <c r="G36" i="7"/>
  <c r="G35" i="7"/>
  <c r="G34" i="7"/>
  <c r="G32" i="7"/>
  <c r="G31" i="7"/>
  <c r="G30" i="7"/>
  <c r="G29" i="7"/>
  <c r="G28" i="7"/>
  <c r="G27" i="7"/>
  <c r="G26" i="7"/>
  <c r="G23" i="7"/>
  <c r="G21" i="7"/>
  <c r="G19" i="7"/>
  <c r="G18" i="7"/>
  <c r="G20" i="7"/>
  <c r="G22" i="7"/>
  <c r="G24" i="7"/>
  <c r="G25" i="7"/>
  <c r="G33" i="7"/>
  <c r="G37" i="7"/>
  <c r="G42" i="7"/>
  <c r="G16" i="7"/>
  <c r="G15" i="7"/>
  <c r="E79" i="7"/>
  <c r="K58" i="7" l="1"/>
  <c r="F64" i="7"/>
  <c r="H52" i="7"/>
  <c r="H15" i="7"/>
  <c r="G50" i="7"/>
  <c r="G58" i="7" s="1"/>
  <c r="G64" i="7" s="1"/>
  <c r="J61" i="7" l="1"/>
  <c r="M61" i="7" s="1"/>
  <c r="J62" i="7"/>
  <c r="M62" i="7" s="1"/>
  <c r="N62" i="7" s="1"/>
  <c r="P111" i="7"/>
  <c r="P101" i="7"/>
  <c r="P100" i="7"/>
  <c r="N61" i="7" l="1"/>
  <c r="M64" i="7"/>
  <c r="J84" i="7"/>
  <c r="J93" i="7" s="1"/>
  <c r="J64" i="7"/>
  <c r="K89" i="7"/>
  <c r="K85" i="7"/>
  <c r="F98" i="7"/>
  <c r="F102" i="7" l="1"/>
  <c r="F106" i="7" s="1"/>
  <c r="J79" i="7"/>
  <c r="K93" i="7" l="1"/>
  <c r="J90" i="7"/>
  <c r="K90" i="7" s="1"/>
  <c r="J86" i="7"/>
  <c r="K86" i="7" s="1"/>
  <c r="I22" i="7"/>
  <c r="G79" i="7"/>
  <c r="H71" i="7"/>
  <c r="H68" i="7"/>
  <c r="H67" i="7"/>
  <c r="K47" i="7"/>
  <c r="K45" i="7"/>
  <c r="K41" i="7"/>
  <c r="K40" i="7"/>
  <c r="K36" i="7"/>
  <c r="K35" i="7"/>
  <c r="K34" i="7"/>
  <c r="R94" i="7" l="1"/>
  <c r="Q100" i="7" s="1"/>
  <c r="R106" i="7"/>
  <c r="Q107" i="7" s="1"/>
  <c r="Q108" i="7" s="1"/>
  <c r="K37" i="7"/>
  <c r="K21" i="7"/>
  <c r="I47" i="7"/>
  <c r="I41" i="7"/>
  <c r="I45" i="7"/>
  <c r="I36" i="7"/>
  <c r="I34" i="7"/>
  <c r="I40" i="7"/>
  <c r="K29" i="7"/>
  <c r="I29" i="7"/>
  <c r="I35" i="7"/>
  <c r="I63" i="7"/>
  <c r="H73" i="7"/>
  <c r="I61" i="7"/>
  <c r="K44" i="7"/>
  <c r="I53" i="7"/>
  <c r="K23" i="7"/>
  <c r="K18" i="7"/>
  <c r="K38" i="7"/>
  <c r="K39" i="7"/>
  <c r="K43" i="7"/>
  <c r="I57" i="7"/>
  <c r="K46" i="7"/>
  <c r="I56" i="7"/>
  <c r="Q111" i="7" l="1"/>
  <c r="Q101" i="7"/>
  <c r="Q96" i="7"/>
  <c r="Q97" i="7" s="1"/>
  <c r="K49" i="7"/>
  <c r="I49" i="7"/>
  <c r="K52" i="7"/>
  <c r="I52" i="7"/>
  <c r="K62" i="7"/>
  <c r="I62" i="7"/>
  <c r="I19" i="7"/>
  <c r="K19" i="7"/>
  <c r="K56" i="7"/>
  <c r="K61" i="7"/>
  <c r="K57" i="7"/>
  <c r="K53" i="7"/>
  <c r="K63" i="7"/>
  <c r="H77" i="7"/>
  <c r="I33" i="7"/>
  <c r="H70" i="7"/>
  <c r="I15" i="7"/>
  <c r="I32" i="7"/>
  <c r="I46" i="7"/>
  <c r="I43" i="7"/>
  <c r="I44" i="7"/>
  <c r="I27" i="7"/>
  <c r="K27" i="7"/>
  <c r="I38" i="7"/>
  <c r="K30" i="7"/>
  <c r="I30" i="7"/>
  <c r="I18" i="7"/>
  <c r="I20" i="7"/>
  <c r="I37" i="7"/>
  <c r="I16" i="7"/>
  <c r="I23" i="7"/>
  <c r="K28" i="7"/>
  <c r="I28" i="7"/>
  <c r="I39" i="7"/>
  <c r="K31" i="7"/>
  <c r="I31" i="7"/>
  <c r="H76" i="7"/>
  <c r="H56" i="7"/>
  <c r="H72" i="7"/>
  <c r="H74" i="7"/>
  <c r="H57" i="7"/>
  <c r="H78" i="7"/>
  <c r="H75" i="7"/>
  <c r="K25" i="7"/>
  <c r="Q98" i="7" l="1"/>
  <c r="K32" i="7"/>
  <c r="I42" i="7"/>
  <c r="I25" i="7"/>
  <c r="E50" i="7"/>
  <c r="K26" i="7"/>
  <c r="I26" i="7"/>
  <c r="H69" i="7"/>
  <c r="H79" i="7" s="1"/>
  <c r="F79" i="7"/>
  <c r="E58" i="7" l="1"/>
  <c r="I50" i="7"/>
  <c r="I58" i="7" s="1"/>
  <c r="I64" i="7" s="1"/>
  <c r="E64" i="7" l="1"/>
  <c r="H46" i="7" l="1"/>
  <c r="H41" i="7"/>
  <c r="H47" i="7"/>
  <c r="H53" i="7"/>
  <c r="H42" i="7"/>
  <c r="H39" i="7"/>
  <c r="H62" i="7"/>
  <c r="H44" i="7"/>
  <c r="H29" i="7"/>
  <c r="H28" i="7"/>
  <c r="H63" i="7"/>
  <c r="H34" i="7"/>
  <c r="H31" i="7"/>
  <c r="H43" i="7" l="1"/>
  <c r="H40" i="7"/>
  <c r="H45" i="7"/>
  <c r="H30" i="7"/>
  <c r="H19" i="7"/>
  <c r="H61" i="7"/>
  <c r="H25" i="7"/>
  <c r="H33" i="7"/>
  <c r="H37" i="7"/>
  <c r="H18" i="7"/>
  <c r="H32" i="7"/>
  <c r="H26" i="7"/>
  <c r="H38" i="7"/>
  <c r="H23" i="7"/>
  <c r="H49" i="7"/>
  <c r="H35" i="7"/>
  <c r="H36" i="7"/>
  <c r="H27" i="7"/>
  <c r="H21" i="7"/>
  <c r="H16" i="7"/>
  <c r="H20" i="7"/>
  <c r="H50" i="7" l="1"/>
  <c r="H58" i="7" s="1"/>
  <c r="H64" i="7" s="1"/>
  <c r="Q75" i="4" l="1"/>
  <c r="Q76" i="4" s="1"/>
  <c r="P75" i="4"/>
  <c r="P76" i="4" s="1"/>
  <c r="O75" i="4"/>
  <c r="O76" i="4" s="1"/>
  <c r="N75" i="4"/>
  <c r="N76" i="4" s="1"/>
  <c r="M75" i="4"/>
  <c r="M76" i="4" s="1"/>
  <c r="J75" i="4"/>
  <c r="H75" i="4"/>
  <c r="G75" i="4"/>
  <c r="F75" i="4"/>
  <c r="E75" i="4"/>
  <c r="K74" i="4"/>
  <c r="K75" i="4" s="1"/>
  <c r="L73" i="4"/>
  <c r="L71" i="4"/>
  <c r="I71" i="4"/>
  <c r="L70" i="4"/>
  <c r="I70" i="4"/>
  <c r="L68" i="4"/>
  <c r="I68" i="4"/>
  <c r="K60" i="4"/>
  <c r="H60" i="4"/>
  <c r="E60" i="4"/>
  <c r="L59" i="4"/>
  <c r="G59" i="4"/>
  <c r="G60" i="4" s="1"/>
  <c r="L58" i="4"/>
  <c r="I58" i="4"/>
  <c r="L56" i="4"/>
  <c r="I56" i="4"/>
  <c r="L55" i="4"/>
  <c r="I55" i="4"/>
  <c r="L54" i="4"/>
  <c r="I54" i="4"/>
  <c r="L51" i="4"/>
  <c r="I51" i="4"/>
  <c r="L50" i="4"/>
  <c r="I50" i="4"/>
  <c r="E48" i="4"/>
  <c r="O47" i="4"/>
  <c r="K47" i="4"/>
  <c r="O46" i="4"/>
  <c r="L46" i="4"/>
  <c r="I46" i="4"/>
  <c r="O45" i="4"/>
  <c r="L45" i="4"/>
  <c r="I45" i="4"/>
  <c r="O44" i="4"/>
  <c r="L44" i="4"/>
  <c r="I44" i="4"/>
  <c r="O43" i="4"/>
  <c r="L43" i="4"/>
  <c r="I43" i="4"/>
  <c r="O42" i="4"/>
  <c r="L42" i="4"/>
  <c r="I42" i="4"/>
  <c r="O41" i="4"/>
  <c r="L41" i="4"/>
  <c r="I41" i="4"/>
  <c r="O40" i="4"/>
  <c r="K40" i="4"/>
  <c r="I40" i="4"/>
  <c r="O39" i="4"/>
  <c r="L39" i="4"/>
  <c r="I39" i="4"/>
  <c r="O38" i="4"/>
  <c r="L38" i="4"/>
  <c r="I38" i="4"/>
  <c r="O37" i="4"/>
  <c r="L37" i="4"/>
  <c r="I37" i="4"/>
  <c r="O36" i="4"/>
  <c r="L36" i="4"/>
  <c r="G36" i="4"/>
  <c r="H36" i="4" s="1"/>
  <c r="H48" i="4" s="1"/>
  <c r="O35" i="4"/>
  <c r="L35" i="4"/>
  <c r="I35" i="4"/>
  <c r="O34" i="4"/>
  <c r="I34" i="4"/>
  <c r="O33" i="4"/>
  <c r="L33" i="4"/>
  <c r="I33" i="4"/>
  <c r="O32" i="4"/>
  <c r="L32" i="4"/>
  <c r="I32" i="4"/>
  <c r="O31" i="4"/>
  <c r="L31" i="4"/>
  <c r="I31" i="4"/>
  <c r="O30" i="4"/>
  <c r="L30" i="4"/>
  <c r="G30" i="4"/>
  <c r="I30" i="4" s="1"/>
  <c r="O29" i="4"/>
  <c r="L29" i="4"/>
  <c r="I29" i="4"/>
  <c r="K28" i="4"/>
  <c r="I28" i="4"/>
  <c r="O27" i="4"/>
  <c r="L27" i="4"/>
  <c r="I27" i="4"/>
  <c r="O26" i="4"/>
  <c r="L26" i="4"/>
  <c r="I26" i="4"/>
  <c r="O25" i="4"/>
  <c r="L25" i="4"/>
  <c r="I25" i="4"/>
  <c r="O24" i="4"/>
  <c r="L24" i="4"/>
  <c r="I24" i="4"/>
  <c r="O23" i="4"/>
  <c r="L23" i="4"/>
  <c r="I23" i="4"/>
  <c r="O22" i="4"/>
  <c r="L22" i="4"/>
  <c r="I22" i="4"/>
  <c r="O21" i="4"/>
  <c r="L21" i="4"/>
  <c r="I21" i="4"/>
  <c r="O20" i="4"/>
  <c r="L20" i="4"/>
  <c r="I20" i="4"/>
  <c r="O19" i="4"/>
  <c r="L19" i="4"/>
  <c r="G19" i="4"/>
  <c r="I19" i="4" s="1"/>
  <c r="O18" i="4"/>
  <c r="L18" i="4"/>
  <c r="G18" i="4"/>
  <c r="I18" i="4" s="1"/>
  <c r="O17" i="4"/>
  <c r="L17" i="4"/>
  <c r="I17" i="4"/>
  <c r="O16" i="4"/>
  <c r="K16" i="4"/>
  <c r="I16" i="4"/>
  <c r="O15" i="4"/>
  <c r="I15" i="4"/>
  <c r="L15" i="4" s="1"/>
  <c r="O14" i="4"/>
  <c r="L14" i="4"/>
  <c r="I14" i="4"/>
  <c r="K48" i="4" l="1"/>
  <c r="K61" i="4" s="1"/>
  <c r="K76" i="4" s="1"/>
  <c r="E61" i="4"/>
  <c r="E76" i="4" s="1"/>
  <c r="I36" i="4"/>
  <c r="I48" i="4" s="1"/>
  <c r="L48" i="4"/>
  <c r="L60" i="4"/>
  <c r="I75" i="4"/>
  <c r="H61" i="4"/>
  <c r="H76" i="4" s="1"/>
  <c r="G48" i="4"/>
  <c r="G61" i="4" s="1"/>
  <c r="G76" i="4" s="1"/>
  <c r="L75" i="4"/>
  <c r="I59" i="4"/>
  <c r="I60" i="4" s="1"/>
  <c r="L61" i="4" l="1"/>
  <c r="L76" i="4"/>
  <c r="I61" i="4"/>
  <c r="I76" i="4" s="1"/>
  <c r="K43" i="1" l="1"/>
  <c r="N58" i="1" l="1"/>
  <c r="N59" i="1"/>
  <c r="N60" i="1"/>
  <c r="N61" i="1"/>
  <c r="N62" i="1"/>
  <c r="N63" i="1"/>
  <c r="N64" i="1"/>
  <c r="N57" i="1"/>
  <c r="N46" i="1"/>
  <c r="N48" i="1"/>
  <c r="N49" i="1"/>
  <c r="N50" i="1"/>
  <c r="N52" i="1"/>
  <c r="N53" i="1"/>
  <c r="N4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5" i="1"/>
  <c r="M65" i="1"/>
  <c r="M54" i="1"/>
  <c r="M43" i="1"/>
  <c r="M55" i="1" l="1"/>
  <c r="M66" i="1" s="1"/>
  <c r="E43" i="1" l="1"/>
  <c r="E54" i="1"/>
  <c r="K54" i="1"/>
  <c r="N54" i="1"/>
  <c r="J57" i="1"/>
  <c r="J58" i="1"/>
  <c r="J60" i="1"/>
  <c r="J65" i="1" s="1"/>
  <c r="E65" i="1"/>
  <c r="G65" i="1"/>
  <c r="H65" i="1"/>
  <c r="K65" i="1"/>
  <c r="N65" i="1" s="1"/>
  <c r="K55" i="1" l="1"/>
  <c r="K66" i="1" s="1"/>
  <c r="N66" i="1" s="1"/>
  <c r="E55" i="1"/>
  <c r="G9" i="1"/>
  <c r="E66" i="1"/>
  <c r="G17" i="1" l="1"/>
  <c r="H17" i="1" s="1"/>
  <c r="J17" i="1" s="1"/>
  <c r="G21" i="1"/>
  <c r="H21" i="1" s="1"/>
  <c r="J21" i="1" s="1"/>
  <c r="G25" i="1"/>
  <c r="H25" i="1" s="1"/>
  <c r="J25" i="1" s="1"/>
  <c r="G29" i="1"/>
  <c r="H29" i="1" s="1"/>
  <c r="J29" i="1" s="1"/>
  <c r="G33" i="1"/>
  <c r="H33" i="1" s="1"/>
  <c r="J33" i="1" s="1"/>
  <c r="G34" i="1"/>
  <c r="H34" i="1" s="1"/>
  <c r="J34" i="1" s="1"/>
  <c r="G38" i="1"/>
  <c r="H38" i="1" s="1"/>
  <c r="J38" i="1" s="1"/>
  <c r="G42" i="1"/>
  <c r="H42" i="1" s="1"/>
  <c r="J42" i="1" s="1"/>
  <c r="G15" i="1"/>
  <c r="G19" i="1"/>
  <c r="H19" i="1" s="1"/>
  <c r="J19" i="1" s="1"/>
  <c r="G23" i="1"/>
  <c r="H23" i="1" s="1"/>
  <c r="J23" i="1" s="1"/>
  <c r="G27" i="1"/>
  <c r="H27" i="1" s="1"/>
  <c r="J27" i="1" s="1"/>
  <c r="G31" i="1"/>
  <c r="H31" i="1" s="1"/>
  <c r="J31" i="1" s="1"/>
  <c r="G36" i="1"/>
  <c r="H36" i="1" s="1"/>
  <c r="J36" i="1" s="1"/>
  <c r="G45" i="1"/>
  <c r="G46" i="1"/>
  <c r="H46" i="1" s="1"/>
  <c r="J46" i="1" s="1"/>
  <c r="G48" i="1"/>
  <c r="H48" i="1" s="1"/>
  <c r="J48" i="1" s="1"/>
  <c r="G50" i="1"/>
  <c r="H50" i="1" s="1"/>
  <c r="J50" i="1" s="1"/>
  <c r="G52" i="1"/>
  <c r="H52" i="1" s="1"/>
  <c r="J52" i="1" s="1"/>
  <c r="G16" i="1"/>
  <c r="H16" i="1" s="1"/>
  <c r="J16" i="1" s="1"/>
  <c r="G18" i="1"/>
  <c r="H18" i="1" s="1"/>
  <c r="J18" i="1" s="1"/>
  <c r="G22" i="1"/>
  <c r="H22" i="1" s="1"/>
  <c r="J22" i="1" s="1"/>
  <c r="G26" i="1"/>
  <c r="H26" i="1" s="1"/>
  <c r="J26" i="1" s="1"/>
  <c r="G30" i="1"/>
  <c r="H30" i="1" s="1"/>
  <c r="J30" i="1" s="1"/>
  <c r="G35" i="1"/>
  <c r="H35" i="1" s="1"/>
  <c r="J35" i="1" s="1"/>
  <c r="G39" i="1"/>
  <c r="H39" i="1" s="1"/>
  <c r="J39" i="1" s="1"/>
  <c r="G40" i="1"/>
  <c r="H40" i="1" s="1"/>
  <c r="J40" i="1" s="1"/>
  <c r="G49" i="1"/>
  <c r="H49" i="1" s="1"/>
  <c r="J49" i="1" s="1"/>
  <c r="G53" i="1"/>
  <c r="H53" i="1" s="1"/>
  <c r="J53" i="1" s="1"/>
  <c r="G20" i="1"/>
  <c r="H20" i="1" s="1"/>
  <c r="J20" i="1" s="1"/>
  <c r="G24" i="1"/>
  <c r="H24" i="1" s="1"/>
  <c r="J24" i="1" s="1"/>
  <c r="G37" i="1"/>
  <c r="H37" i="1" s="1"/>
  <c r="J37" i="1" s="1"/>
  <c r="G32" i="1"/>
  <c r="H32" i="1" s="1"/>
  <c r="J32" i="1" s="1"/>
  <c r="G28" i="1"/>
  <c r="H28" i="1" s="1"/>
  <c r="J28" i="1" s="1"/>
  <c r="G41" i="1"/>
  <c r="H41" i="1" s="1"/>
  <c r="J41" i="1" s="1"/>
  <c r="N43" i="1"/>
  <c r="N55" i="1" s="1"/>
  <c r="G54" i="1" l="1"/>
  <c r="H45" i="1"/>
  <c r="G43" i="1"/>
  <c r="H15" i="1"/>
  <c r="G55" i="1" l="1"/>
  <c r="G66" i="1" s="1"/>
  <c r="J15" i="1"/>
  <c r="J43" i="1" s="1"/>
  <c r="H43" i="1"/>
  <c r="J45" i="1"/>
  <c r="J54" i="1" s="1"/>
  <c r="H54" i="1"/>
  <c r="H55" i="1" l="1"/>
  <c r="H66" i="1" s="1"/>
  <c r="J55" i="1"/>
  <c r="J66" i="1" s="1"/>
</calcChain>
</file>

<file path=xl/sharedStrings.xml><?xml version="1.0" encoding="utf-8"?>
<sst xmlns="http://schemas.openxmlformats.org/spreadsheetml/2006/main" count="1067" uniqueCount="316">
  <si>
    <t xml:space="preserve">Grand Total </t>
  </si>
  <si>
    <t>Total - SFRB One Time Funding</t>
  </si>
  <si>
    <t>Shirley Mitchell</t>
  </si>
  <si>
    <t>Sustainability Manager</t>
  </si>
  <si>
    <t>Mary Clark</t>
  </si>
  <si>
    <t>Green Fund, Office Sustainability</t>
  </si>
  <si>
    <t>SFRB Chair</t>
  </si>
  <si>
    <t>SFRB Website</t>
  </si>
  <si>
    <t>Lorena Blanco-Silva</t>
  </si>
  <si>
    <t>Vice President, Interim</t>
  </si>
  <si>
    <t>Lawrence Roybal</t>
  </si>
  <si>
    <t>LGBTQ Resource Center</t>
  </si>
  <si>
    <t>Juanita Trujillo</t>
  </si>
  <si>
    <t>Dean, Univ. Library</t>
  </si>
  <si>
    <t>Richard Clement</t>
  </si>
  <si>
    <t>107000</t>
  </si>
  <si>
    <t>Libraries</t>
  </si>
  <si>
    <t>Francisco Certain</t>
  </si>
  <si>
    <t>Executive Director</t>
  </si>
  <si>
    <r>
      <rPr>
        <sz val="19"/>
        <rFont val="Arial"/>
        <family val="2"/>
      </rPr>
      <t>ENLACE</t>
    </r>
    <r>
      <rPr>
        <sz val="18"/>
        <rFont val="Arial"/>
        <family val="2"/>
      </rPr>
      <t xml:space="preserve"> - Division of Equity and Inclusion</t>
    </r>
  </si>
  <si>
    <t>Nasha Torrez</t>
  </si>
  <si>
    <t>Director/Prog Manager</t>
  </si>
  <si>
    <t>Lisa Delgado</t>
  </si>
  <si>
    <t>LoboRESPECT</t>
  </si>
  <si>
    <t>Project for NM GS of Color</t>
  </si>
  <si>
    <t>SFRB - One Time Funding</t>
  </si>
  <si>
    <t>Total - Current Funds</t>
  </si>
  <si>
    <t>Subtotal - GAF/Debt/ASUNM/GPSA</t>
  </si>
  <si>
    <t>Regina Dominguez</t>
  </si>
  <si>
    <t>Budget Officer</t>
  </si>
  <si>
    <t>Vahid Staples</t>
  </si>
  <si>
    <t>02Z1</t>
  </si>
  <si>
    <t>Debt Service-Facility Fee</t>
  </si>
  <si>
    <t>P501</t>
  </si>
  <si>
    <t>475055</t>
  </si>
  <si>
    <t>Debt Service-ERP Project Fee</t>
  </si>
  <si>
    <t>475019</t>
  </si>
  <si>
    <t>Debt Service/Other</t>
  </si>
  <si>
    <t>Ryan Lindquist</t>
  </si>
  <si>
    <t>Accountant</t>
  </si>
  <si>
    <t>Joanna Garcia</t>
  </si>
  <si>
    <t>02Z3</t>
  </si>
  <si>
    <t>GPSA</t>
  </si>
  <si>
    <t>P151</t>
  </si>
  <si>
    <t>670373</t>
  </si>
  <si>
    <t>02Z2</t>
  </si>
  <si>
    <t>ASUNM</t>
  </si>
  <si>
    <t>670371</t>
  </si>
  <si>
    <t>ASUNM - Accounting office</t>
  </si>
  <si>
    <t>670009</t>
  </si>
  <si>
    <t xml:space="preserve">ASUNM/GPSA </t>
  </si>
  <si>
    <t>GPSA Student Research Grant</t>
  </si>
  <si>
    <t>670363</t>
  </si>
  <si>
    <t>670756</t>
  </si>
  <si>
    <t>GPSA Graduate Scholarship Fund</t>
  </si>
  <si>
    <t>P2N(P17)</t>
  </si>
  <si>
    <t>Graduate Allocation Fund (GAF)</t>
  </si>
  <si>
    <t>Subtotal - Student Activity Fees</t>
  </si>
  <si>
    <t>Caitlin Henke</t>
  </si>
  <si>
    <t>Director</t>
  </si>
  <si>
    <t>Jessica Holland</t>
  </si>
  <si>
    <t>Women's Resource Center</t>
  </si>
  <si>
    <t>306004</t>
  </si>
  <si>
    <t>Thomas Tkach</t>
  </si>
  <si>
    <t>UNM Public Events (Popejoy)</t>
  </si>
  <si>
    <t>P201</t>
  </si>
  <si>
    <t>726008</t>
  </si>
  <si>
    <t>Eric Vogler</t>
  </si>
  <si>
    <t>Daniela Baca</t>
  </si>
  <si>
    <t>UNM Children's Campus</t>
  </si>
  <si>
    <t>234010</t>
  </si>
  <si>
    <t>107000/107006</t>
  </si>
  <si>
    <t>Univ Library Acquisitions</t>
  </si>
  <si>
    <t>P111</t>
  </si>
  <si>
    <t>Sarah Lentz</t>
  </si>
  <si>
    <t>Chairperson</t>
  </si>
  <si>
    <t>Vladimir Conde Reche</t>
  </si>
  <si>
    <t>Theatre and Dance</t>
  </si>
  <si>
    <t>652034</t>
  </si>
  <si>
    <t>Mayra Vasquez</t>
  </si>
  <si>
    <t>James Wilterding</t>
  </si>
  <si>
    <t>037008</t>
  </si>
  <si>
    <t>Student Health and Counseling</t>
  </si>
  <si>
    <t>Student Govt. Accounting Office</t>
  </si>
  <si>
    <t>670012</t>
  </si>
  <si>
    <t>Student Activity Center</t>
  </si>
  <si>
    <t>Brooke Martinez</t>
  </si>
  <si>
    <t>James Todd</t>
  </si>
  <si>
    <t>Recreational Services</t>
  </si>
  <si>
    <t>823000</t>
  </si>
  <si>
    <t>Margaret Gonzales</t>
  </si>
  <si>
    <t>Dean, Grad. Studies</t>
  </si>
  <si>
    <t>Julie Coonrod</t>
  </si>
  <si>
    <t>P171</t>
  </si>
  <si>
    <t>457003</t>
  </si>
  <si>
    <t>Richard Sobieski</t>
  </si>
  <si>
    <t>Barbara Morck</t>
  </si>
  <si>
    <t>314047</t>
  </si>
  <si>
    <t>Parking &amp; Transportation Services</t>
  </si>
  <si>
    <t>P176</t>
  </si>
  <si>
    <t>Cheryl Wallace</t>
  </si>
  <si>
    <t>Ass. Vice President</t>
  </si>
  <si>
    <t>Walter Miller</t>
  </si>
  <si>
    <t>161003</t>
  </si>
  <si>
    <t>New Mexico Union (SUB)</t>
  </si>
  <si>
    <t>Carola Bounkeau</t>
  </si>
  <si>
    <t>Director of Bands</t>
  </si>
  <si>
    <t>Eric Rombach-Kendall</t>
  </si>
  <si>
    <t>Music Bands</t>
  </si>
  <si>
    <t>459145</t>
  </si>
  <si>
    <t>235000</t>
  </si>
  <si>
    <t>Linda Morris</t>
  </si>
  <si>
    <t>General Manager</t>
  </si>
  <si>
    <t>Richard S. Towne</t>
  </si>
  <si>
    <t>KUNM</t>
  </si>
  <si>
    <t>402044</t>
  </si>
  <si>
    <t>Kirsten Martinez</t>
  </si>
  <si>
    <t>CIO</t>
  </si>
  <si>
    <t>Duane Arruti</t>
  </si>
  <si>
    <t>321004</t>
  </si>
  <si>
    <t>IT Initiatives</t>
  </si>
  <si>
    <t>Aeron Haynie</t>
  </si>
  <si>
    <t>521000</t>
  </si>
  <si>
    <t>Graduate Resource Center</t>
  </si>
  <si>
    <t>P101</t>
  </si>
  <si>
    <t>Danielle Gilliam</t>
  </si>
  <si>
    <t>Nicole Tami</t>
  </si>
  <si>
    <t>064004</t>
  </si>
  <si>
    <t>Global Education Office</t>
  </si>
  <si>
    <t>Noemi Gutierrez</t>
  </si>
  <si>
    <t>Rosa Isela Cervantes</t>
  </si>
  <si>
    <t>El Centro De La Raza</t>
  </si>
  <si>
    <t>942002</t>
  </si>
  <si>
    <t>Gabriela Hubbart</t>
  </si>
  <si>
    <t>Kiran Katira</t>
  </si>
  <si>
    <t>Community Learning &amp; Public Service</t>
  </si>
  <si>
    <t>439000</t>
  </si>
  <si>
    <t>Ray Renteria</t>
  </si>
  <si>
    <t>Program Specialist</t>
  </si>
  <si>
    <t>Jose Villar</t>
  </si>
  <si>
    <t>027007</t>
  </si>
  <si>
    <t>College Enrichment Program</t>
  </si>
  <si>
    <t>Ivan Olay</t>
  </si>
  <si>
    <t>429137</t>
  </si>
  <si>
    <t>College Assistant Migrant Program</t>
  </si>
  <si>
    <t>Beverly Shead</t>
  </si>
  <si>
    <t>Sidney Mason-Coon</t>
  </si>
  <si>
    <t>Program Manager</t>
  </si>
  <si>
    <t>John Steiner</t>
  </si>
  <si>
    <t>028115</t>
  </si>
  <si>
    <t>CASAA/COSAP</t>
  </si>
  <si>
    <t>Cathy Chalk</t>
  </si>
  <si>
    <t>Jenna Crabb</t>
  </si>
  <si>
    <t>Career Services</t>
  </si>
  <si>
    <t>378011</t>
  </si>
  <si>
    <t>Robert Robinson</t>
  </si>
  <si>
    <t>Athletic Director</t>
  </si>
  <si>
    <t>Eddie Nunez</t>
  </si>
  <si>
    <t>Athletics</t>
  </si>
  <si>
    <t>P211</t>
  </si>
  <si>
    <t>925027</t>
  </si>
  <si>
    <t>Pamela Agoyo</t>
  </si>
  <si>
    <t>American Indian Student Services</t>
  </si>
  <si>
    <t>442001</t>
  </si>
  <si>
    <t>Scott Carreathers</t>
  </si>
  <si>
    <t>African American Student Svc AASS</t>
  </si>
  <si>
    <t>946002</t>
  </si>
  <si>
    <t>Student Activity Fees</t>
  </si>
  <si>
    <t>(Decrease)</t>
  </si>
  <si>
    <t>Budget</t>
  </si>
  <si>
    <t>Prog</t>
  </si>
  <si>
    <t>Index</t>
  </si>
  <si>
    <t>CC1</t>
  </si>
  <si>
    <t>Job Title</t>
  </si>
  <si>
    <t>Name</t>
  </si>
  <si>
    <t>Increase</t>
  </si>
  <si>
    <t>Revised</t>
  </si>
  <si>
    <t>Original</t>
  </si>
  <si>
    <t>Requestors of Student Fees</t>
  </si>
  <si>
    <t>FY 2018-19</t>
  </si>
  <si>
    <t>FY 2017-18</t>
  </si>
  <si>
    <t>MAIN CAMPUS</t>
  </si>
  <si>
    <t xml:space="preserve">THE UNIVERSITY OF NEW MEXICO </t>
  </si>
  <si>
    <t>Regents - Final</t>
  </si>
  <si>
    <t>SFRB - Recommendation</t>
  </si>
  <si>
    <t>Acct Code</t>
  </si>
  <si>
    <t>521008</t>
  </si>
  <si>
    <t>521009</t>
  </si>
  <si>
    <t>402080</t>
  </si>
  <si>
    <t>037028</t>
  </si>
  <si>
    <t>107046</t>
  </si>
  <si>
    <t>234041</t>
  </si>
  <si>
    <t>726030</t>
  </si>
  <si>
    <t>New Index</t>
  </si>
  <si>
    <t xml:space="preserve">FY 2018-19 STUDENT FEES </t>
  </si>
  <si>
    <t>Center for Academic Program Support (CAPS)</t>
  </si>
  <si>
    <t>410000</t>
  </si>
  <si>
    <t>n/a</t>
  </si>
  <si>
    <t>054111</t>
  </si>
  <si>
    <t>11E0</t>
  </si>
  <si>
    <t>Offset for Comments in Budget Planner</t>
  </si>
  <si>
    <t>Student Publications</t>
  </si>
  <si>
    <t>Carolyn Souther</t>
  </si>
  <si>
    <t>Daven Quelle</t>
  </si>
  <si>
    <t>Business Manager</t>
  </si>
  <si>
    <t>FY 2019-20</t>
  </si>
  <si>
    <t xml:space="preserve">FY 2019-20 STUDENT FEES </t>
  </si>
  <si>
    <t>I&amp;G One-Time Funding</t>
  </si>
  <si>
    <t>BLT - Recommendation</t>
  </si>
  <si>
    <t>President - Recommendation</t>
  </si>
  <si>
    <t>Division of Equity &amp; Inclusion</t>
  </si>
  <si>
    <t>Geography &amp; Environmental Studies</t>
  </si>
  <si>
    <t>Linda Melville</t>
  </si>
  <si>
    <t>LoboRESPECT Advocacy Center</t>
  </si>
  <si>
    <t>Office of Rights &amp; Responsibilities</t>
  </si>
  <si>
    <t>SFRB Contingency</t>
  </si>
  <si>
    <t>GPSA Administrative Position</t>
  </si>
  <si>
    <t>Brandi Stone</t>
  </si>
  <si>
    <t>Interim Director</t>
  </si>
  <si>
    <t>Christine Sraha</t>
  </si>
  <si>
    <t>Amy Montoya</t>
  </si>
  <si>
    <t>Ivy Duewall</t>
  </si>
  <si>
    <t>Tonya Morgan</t>
  </si>
  <si>
    <t>457107</t>
  </si>
  <si>
    <t>Fabianna Tabeling</t>
  </si>
  <si>
    <t>%</t>
  </si>
  <si>
    <t>N/A</t>
  </si>
  <si>
    <t xml:space="preserve"> </t>
  </si>
  <si>
    <t>College Enrichment Program (FYRE)</t>
  </si>
  <si>
    <t>ENLACE - Division of Equity and Inclusion</t>
  </si>
  <si>
    <t>252014</t>
  </si>
  <si>
    <t>1120</t>
  </si>
  <si>
    <t xml:space="preserve">    </t>
  </si>
  <si>
    <t>FY 2020-2021</t>
  </si>
  <si>
    <t>SFRB -Requests</t>
  </si>
  <si>
    <t>Regents - Final with President Recommendation</t>
  </si>
  <si>
    <t>Revised Budget 18.36% Reduction</t>
  </si>
  <si>
    <t>Kara Moeller</t>
  </si>
  <si>
    <t>Scott Tonigan</t>
  </si>
  <si>
    <t>College Assistant Migrant Program (El Centro)</t>
  </si>
  <si>
    <t>Community Engagement Center (CLPS)</t>
  </si>
  <si>
    <t>296038</t>
  </si>
  <si>
    <t>Desiree Gatherings</t>
  </si>
  <si>
    <t>Assata Zerai</t>
  </si>
  <si>
    <t>VP Equity &amp; Inclusion</t>
  </si>
  <si>
    <t>Robin Vigil</t>
  </si>
  <si>
    <t>Operations Mgr.</t>
  </si>
  <si>
    <t>Theresa Lujan</t>
  </si>
  <si>
    <t>Fran Wilkinson</t>
  </si>
  <si>
    <t>Interim Dean</t>
  </si>
  <si>
    <t>Juiie Ann Roberts</t>
  </si>
  <si>
    <t>Veteran &amp; Military Resource Center</t>
  </si>
  <si>
    <t>ASUNM-Supplement</t>
  </si>
  <si>
    <t>1660</t>
  </si>
  <si>
    <t>Univ Libraries &amp; Learning Sciences</t>
  </si>
  <si>
    <t>Accounting Manager</t>
  </si>
  <si>
    <t>290017</t>
  </si>
  <si>
    <t>Alonzo Maestas</t>
  </si>
  <si>
    <t>Tim Gutierrez</t>
  </si>
  <si>
    <t>Lisa Lindquist</t>
  </si>
  <si>
    <t>UGrad Student Fee Rates per Semester</t>
  </si>
  <si>
    <t>Mandatory Student Fee Reserve</t>
  </si>
  <si>
    <t>FY 20 Beginning Balance 07/01/19</t>
  </si>
  <si>
    <t>FY 20 SFRB One-Time Allocations</t>
  </si>
  <si>
    <t>Diff</t>
  </si>
  <si>
    <t>Per credit hour</t>
  </si>
  <si>
    <t>Additional</t>
  </si>
  <si>
    <t>12 hours</t>
  </si>
  <si>
    <t>FY 21 SFRB One-Time Allocations</t>
  </si>
  <si>
    <t>15 hours</t>
  </si>
  <si>
    <t xml:space="preserve">Old Rate </t>
  </si>
  <si>
    <t>New Rate</t>
  </si>
  <si>
    <t>Projected Ending Balance 06/30/21</t>
  </si>
  <si>
    <t>12 total</t>
  </si>
  <si>
    <t>15 total</t>
  </si>
  <si>
    <t>Grad  Student Fee Rates per Semester</t>
  </si>
  <si>
    <t>FY 2021-22</t>
  </si>
  <si>
    <t>Asian Pacific American Culture Center (APACC)</t>
  </si>
  <si>
    <t>Center for the Advancement of Spatial Informatics Research &amp; Education (ASPIRE)</t>
  </si>
  <si>
    <t>FY 2021-22 STUDENT FEES</t>
  </si>
  <si>
    <t>429000</t>
  </si>
  <si>
    <t>Andrew Gonzalez</t>
  </si>
  <si>
    <t>Emma Hotz</t>
  </si>
  <si>
    <t>Center for Advancement of Spatial Informatics Research &amp; Education (ASPIRE)</t>
  </si>
  <si>
    <t>286038</t>
  </si>
  <si>
    <t>Christopher Lippitt</t>
  </si>
  <si>
    <t>Rowan Leigh Converse</t>
  </si>
  <si>
    <t>027000</t>
  </si>
  <si>
    <t>College Enrichment Program (PLF)</t>
  </si>
  <si>
    <t>Sr. Program Manager</t>
  </si>
  <si>
    <t>Frankie Flores</t>
  </si>
  <si>
    <t>670906</t>
  </si>
  <si>
    <t>Change based on FY21 Original budget</t>
  </si>
  <si>
    <t>FY22 Requested</t>
  </si>
  <si>
    <t>80% projection</t>
  </si>
  <si>
    <t xml:space="preserve">Difference from Requested </t>
  </si>
  <si>
    <t>I&amp;G One-Time Allocation</t>
  </si>
  <si>
    <t>Ending Balance 06/30/20</t>
  </si>
  <si>
    <t>FY20 Year End Net</t>
  </si>
  <si>
    <t>Ending balance includes FY20 SFRB Contingency budget of $200k</t>
  </si>
  <si>
    <t>Projected ending balance includes FY21 SFRB Contingency budgtet of $286,618</t>
  </si>
  <si>
    <t>85% Projection</t>
  </si>
  <si>
    <t>Current FY21 Rate per CR Hr</t>
  </si>
  <si>
    <t>New Proposed Rate per CR Hr</t>
  </si>
  <si>
    <t>88% Projection</t>
  </si>
  <si>
    <t>FY21 Surplus</t>
  </si>
  <si>
    <t>The projected ending balance at 6/30/21 is</t>
  </si>
  <si>
    <t>of MSF Projected budget at 88%</t>
  </si>
  <si>
    <t>Subtotal - Student Activity Fees (SAF)</t>
  </si>
  <si>
    <t>Subtotal - With ASUNM/GPSA</t>
  </si>
  <si>
    <t>Subtotal - Mandatory Student Fees</t>
  </si>
  <si>
    <t>FY21 One-time Emergency Funding</t>
  </si>
  <si>
    <t>SFRB -Recommendations</t>
  </si>
  <si>
    <t>Change based on FY22 Requested</t>
  </si>
  <si>
    <t>GPSA - Supplement</t>
  </si>
  <si>
    <t>ASUNM Supplement split for FY22, 40% GPSA, 60%ASUNM; $123,726. Same total amount for FY23 as well. FY24 this amount to go back to deb service facility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</si>
</sst>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\(#,##0\);[Red]\(\(#,##0\)\)"/>
    <numFmt numFmtId="165" formatCode="0.000%"/>
    <numFmt numFmtId="166" formatCode="_(* #,##0_);_(* \(#,##0\);_(* &quot;-&quot;??_);_(@_)"/>
    <numFmt numFmtId="167" formatCode="&quot;$&quot;#,##0.00"/>
    <numFmt numFmtId="168" formatCode="&quot;$&quot;#,##0"/>
    <numFmt numFmtId="169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7"/>
      <color theme="1"/>
      <name val="Arial"/>
      <family val="2"/>
    </font>
    <font>
      <sz val="17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b/>
      <sz val="17"/>
      <color theme="1"/>
      <name val="Arial"/>
      <family val="2"/>
    </font>
    <font>
      <sz val="20"/>
      <color indexed="8"/>
      <name val="Arial"/>
      <family val="2"/>
    </font>
    <font>
      <sz val="19"/>
      <name val="Arial"/>
      <family val="2"/>
    </font>
    <font>
      <b/>
      <u/>
      <sz val="20"/>
      <name val="Arial"/>
      <family val="2"/>
    </font>
    <font>
      <b/>
      <u/>
      <sz val="20"/>
      <color indexed="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1"/>
      <color theme="0"/>
      <name val="Arial"/>
      <family val="2"/>
    </font>
    <font>
      <b/>
      <sz val="17"/>
      <color theme="0"/>
      <name val="Arial"/>
      <family val="2"/>
    </font>
    <font>
      <b/>
      <sz val="24"/>
      <color indexed="8"/>
      <name val="Arial"/>
      <family val="2"/>
    </font>
    <font>
      <b/>
      <sz val="36"/>
      <color theme="1"/>
      <name val="Arial"/>
      <family val="2"/>
    </font>
    <font>
      <b/>
      <sz val="17"/>
      <color indexed="8"/>
      <name val="Arial"/>
      <family val="2"/>
    </font>
    <font>
      <b/>
      <sz val="24"/>
      <color rgb="FFFF0000"/>
      <name val="Arial"/>
      <family val="2"/>
    </font>
    <font>
      <b/>
      <sz val="17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  <font>
      <sz val="20"/>
      <color rgb="FFFF0000"/>
      <name val="Arial"/>
      <family val="2"/>
    </font>
    <font>
      <sz val="18"/>
      <color indexed="8"/>
      <name val="Arial"/>
      <family val="2"/>
    </font>
    <font>
      <b/>
      <sz val="22"/>
      <color theme="1"/>
      <name val="Arial"/>
      <family val="2"/>
    </font>
    <font>
      <b/>
      <sz val="17"/>
      <name val="Arial"/>
      <family val="2"/>
    </font>
    <font>
      <b/>
      <sz val="14"/>
      <color theme="1"/>
      <name val="Arial"/>
      <family val="2"/>
    </font>
    <font>
      <b/>
      <i/>
      <sz val="17"/>
      <color theme="1"/>
      <name val="Arial"/>
      <family val="2"/>
    </font>
    <font>
      <sz val="10"/>
      <name val="Arial"/>
      <family val="2"/>
    </font>
    <font>
      <i/>
      <sz val="17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theme="0" tint="-0.24994659260841701"/>
      </top>
      <bottom style="thin">
        <color indexed="64"/>
      </bottom>
      <diagonal/>
    </border>
    <border>
      <left/>
      <right style="double">
        <color auto="1"/>
      </right>
      <top style="thin">
        <color theme="0" tint="-0.34998626667073579"/>
      </top>
      <bottom style="thin">
        <color indexed="64"/>
      </bottom>
      <diagonal/>
    </border>
    <border>
      <left style="double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theme="0" tint="-0.34998626667073579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/>
      <bottom style="thin">
        <color theme="0" tint="-0.34998626667073579"/>
      </bottom>
      <diagonal/>
    </border>
    <border>
      <left style="double">
        <color auto="1"/>
      </left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double">
        <color auto="1"/>
      </left>
      <right style="double">
        <color auto="1"/>
      </right>
      <top/>
      <bottom style="thin">
        <color theme="0" tint="-0.34998626667073579"/>
      </bottom>
      <diagonal/>
    </border>
    <border>
      <left style="double">
        <color auto="1"/>
      </left>
      <right style="double">
        <color auto="1"/>
      </right>
      <top style="thin">
        <color theme="0" tint="-0.24994659260841701"/>
      </top>
      <bottom style="thin">
        <color theme="0" tint="-0.34998626667073579"/>
      </bottom>
      <diagonal/>
    </border>
    <border>
      <left style="double">
        <color auto="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double">
        <color auto="1"/>
      </right>
      <top style="thin">
        <color auto="1"/>
      </top>
      <bottom style="thin">
        <color theme="0" tint="-0.34998626667073579"/>
      </bottom>
      <diagonal/>
    </border>
    <border>
      <left style="double">
        <color auto="1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double">
        <color auto="1"/>
      </right>
      <top style="thin">
        <color theme="0" tint="-0.34998626667073579"/>
      </top>
      <bottom/>
      <diagonal/>
    </border>
    <border>
      <left/>
      <right style="double">
        <color auto="1"/>
      </right>
      <top style="thin">
        <color theme="0" tint="-0.34998626667073579"/>
      </top>
      <bottom/>
      <diagonal/>
    </border>
    <border>
      <left style="double">
        <color auto="1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double">
        <color auto="1"/>
      </left>
      <right style="double">
        <color auto="1"/>
      </right>
      <top/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double">
        <color auto="1"/>
      </right>
      <top style="thin">
        <color theme="0" tint="-0.2499465926084170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/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theme="0" tint="-0.24994659260841701"/>
      </top>
      <bottom/>
      <diagonal/>
    </border>
    <border>
      <left/>
      <right style="double">
        <color auto="1"/>
      </right>
      <top/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double">
        <color indexed="64"/>
      </right>
      <top style="thin">
        <color theme="0" tint="-0.1499679555650502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double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double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37" fillId="0" borderId="0"/>
  </cellStyleXfs>
  <cellXfs count="50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  <xf numFmtId="49" fontId="2" fillId="0" borderId="0" xfId="0" applyNumberFormat="1" applyFont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Border="1"/>
    <xf numFmtId="0" fontId="4" fillId="0" borderId="0" xfId="0" applyFont="1" applyFill="1" applyAlignment="1">
      <alignment horizontal="right"/>
    </xf>
    <xf numFmtId="0" fontId="4" fillId="3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49" fontId="2" fillId="3" borderId="0" xfId="0" applyNumberFormat="1" applyFont="1" applyFill="1"/>
    <xf numFmtId="38" fontId="10" fillId="4" borderId="5" xfId="0" applyNumberFormat="1" applyFont="1" applyFill="1" applyBorder="1"/>
    <xf numFmtId="0" fontId="4" fillId="4" borderId="4" xfId="0" applyFont="1" applyFill="1" applyBorder="1"/>
    <xf numFmtId="38" fontId="10" fillId="4" borderId="6" xfId="0" applyNumberFormat="1" applyFont="1" applyFill="1" applyBorder="1"/>
    <xf numFmtId="38" fontId="10" fillId="4" borderId="7" xfId="0" applyNumberFormat="1" applyFont="1" applyFill="1" applyBorder="1"/>
    <xf numFmtId="38" fontId="10" fillId="4" borderId="8" xfId="0" applyNumberFormat="1" applyFont="1" applyFill="1" applyBorder="1"/>
    <xf numFmtId="164" fontId="13" fillId="4" borderId="9" xfId="2" applyNumberFormat="1" applyFont="1" applyFill="1" applyBorder="1" applyAlignment="1"/>
    <xf numFmtId="0" fontId="14" fillId="0" borderId="0" xfId="0" applyFont="1" applyFill="1"/>
    <xf numFmtId="0" fontId="10" fillId="5" borderId="10" xfId="0" applyFont="1" applyFill="1" applyBorder="1"/>
    <xf numFmtId="38" fontId="10" fillId="5" borderId="13" xfId="0" applyNumberFormat="1" applyFont="1" applyFill="1" applyBorder="1"/>
    <xf numFmtId="38" fontId="10" fillId="5" borderId="11" xfId="0" applyNumberFormat="1" applyFont="1" applyFill="1" applyBorder="1" applyAlignment="1">
      <alignment horizontal="right"/>
    </xf>
    <xf numFmtId="38" fontId="10" fillId="5" borderId="11" xfId="0" applyNumberFormat="1" applyFont="1" applyFill="1" applyBorder="1"/>
    <xf numFmtId="164" fontId="13" fillId="5" borderId="15" xfId="2" applyNumberFormat="1" applyFont="1" applyFill="1" applyBorder="1" applyAlignment="1"/>
    <xf numFmtId="0" fontId="7" fillId="0" borderId="0" xfId="0" applyFont="1" applyFill="1"/>
    <xf numFmtId="49" fontId="14" fillId="0" borderId="0" xfId="0" applyNumberFormat="1" applyFont="1" applyFill="1"/>
    <xf numFmtId="38" fontId="4" fillId="0" borderId="19" xfId="0" applyNumberFormat="1" applyFont="1" applyFill="1" applyBorder="1"/>
    <xf numFmtId="3" fontId="9" fillId="0" borderId="20" xfId="0" applyNumberFormat="1" applyFont="1" applyFill="1" applyBorder="1"/>
    <xf numFmtId="0" fontId="4" fillId="0" borderId="17" xfId="0" applyFont="1" applyFill="1" applyBorder="1"/>
    <xf numFmtId="3" fontId="9" fillId="0" borderId="21" xfId="0" applyNumberFormat="1" applyFont="1" applyFill="1" applyBorder="1"/>
    <xf numFmtId="38" fontId="4" fillId="0" borderId="20" xfId="0" applyNumberFormat="1" applyFont="1" applyFill="1" applyBorder="1"/>
    <xf numFmtId="164" fontId="15" fillId="0" borderId="22" xfId="2" applyNumberFormat="1" applyFont="1" applyFill="1" applyBorder="1" applyAlignment="1"/>
    <xf numFmtId="49" fontId="2" fillId="0" borderId="0" xfId="0" applyNumberFormat="1" applyFont="1" applyFill="1"/>
    <xf numFmtId="38" fontId="4" fillId="0" borderId="26" xfId="0" applyNumberFormat="1" applyFont="1" applyFill="1" applyBorder="1"/>
    <xf numFmtId="3" fontId="9" fillId="0" borderId="27" xfId="0" applyNumberFormat="1" applyFont="1" applyFill="1" applyBorder="1"/>
    <xf numFmtId="3" fontId="9" fillId="0" borderId="28" xfId="0" applyNumberFormat="1" applyFont="1" applyFill="1" applyBorder="1"/>
    <xf numFmtId="0" fontId="4" fillId="0" borderId="29" xfId="0" applyFont="1" applyFill="1" applyBorder="1"/>
    <xf numFmtId="38" fontId="4" fillId="0" borderId="28" xfId="0" applyNumberFormat="1" applyFont="1" applyFill="1" applyBorder="1"/>
    <xf numFmtId="0" fontId="4" fillId="0" borderId="25" xfId="0" applyFont="1" applyFill="1" applyBorder="1"/>
    <xf numFmtId="164" fontId="15" fillId="0" borderId="30" xfId="2" applyNumberFormat="1" applyFont="1" applyFill="1" applyBorder="1" applyAlignment="1"/>
    <xf numFmtId="0" fontId="9" fillId="0" borderId="30" xfId="3" applyNumberFormat="1" applyFont="1" applyFill="1" applyBorder="1" applyAlignment="1">
      <alignment horizontal="left"/>
    </xf>
    <xf numFmtId="0" fontId="6" fillId="0" borderId="30" xfId="3" applyNumberFormat="1" applyFont="1" applyFill="1" applyBorder="1" applyAlignment="1">
      <alignment horizontal="left"/>
    </xf>
    <xf numFmtId="0" fontId="4" fillId="0" borderId="31" xfId="0" applyFont="1" applyFill="1" applyBorder="1"/>
    <xf numFmtId="38" fontId="4" fillId="0" borderId="0" xfId="0" applyNumberFormat="1" applyFont="1" applyFill="1" applyBorder="1"/>
    <xf numFmtId="38" fontId="4" fillId="0" borderId="32" xfId="0" applyNumberFormat="1" applyFont="1" applyFill="1" applyBorder="1"/>
    <xf numFmtId="3" fontId="9" fillId="0" borderId="33" xfId="0" applyNumberFormat="1" applyFont="1" applyFill="1" applyBorder="1"/>
    <xf numFmtId="0" fontId="17" fillId="0" borderId="23" xfId="3" applyNumberFormat="1" applyFont="1" applyFill="1" applyBorder="1" applyAlignment="1">
      <alignment horizontal="center"/>
    </xf>
    <xf numFmtId="0" fontId="14" fillId="0" borderId="0" xfId="0" applyFont="1"/>
    <xf numFmtId="38" fontId="10" fillId="5" borderId="36" xfId="0" applyNumberFormat="1" applyFont="1" applyFill="1" applyBorder="1"/>
    <xf numFmtId="38" fontId="10" fillId="5" borderId="1" xfId="0" applyNumberFormat="1" applyFont="1" applyFill="1" applyBorder="1"/>
    <xf numFmtId="0" fontId="10" fillId="5" borderId="35" xfId="0" applyFont="1" applyFill="1" applyBorder="1"/>
    <xf numFmtId="38" fontId="10" fillId="5" borderId="2" xfId="0" applyNumberFormat="1" applyFont="1" applyFill="1" applyBorder="1"/>
    <xf numFmtId="38" fontId="10" fillId="5" borderId="37" xfId="0" applyNumberFormat="1" applyFont="1" applyFill="1" applyBorder="1"/>
    <xf numFmtId="0" fontId="11" fillId="5" borderId="34" xfId="3" applyNumberFormat="1" applyFont="1" applyFill="1" applyBorder="1" applyAlignment="1"/>
    <xf numFmtId="49" fontId="14" fillId="0" borderId="0" xfId="0" applyNumberFormat="1" applyFont="1"/>
    <xf numFmtId="38" fontId="10" fillId="5" borderId="38" xfId="0" applyNumberFormat="1" applyFont="1" applyFill="1" applyBorder="1"/>
    <xf numFmtId="38" fontId="10" fillId="5" borderId="14" xfId="0" applyNumberFormat="1" applyFont="1" applyFill="1" applyBorder="1"/>
    <xf numFmtId="0" fontId="11" fillId="5" borderId="15" xfId="3" applyNumberFormat="1" applyFont="1" applyFill="1" applyBorder="1" applyAlignment="1"/>
    <xf numFmtId="38" fontId="4" fillId="0" borderId="18" xfId="0" applyNumberFormat="1" applyFont="1" applyFill="1" applyBorder="1"/>
    <xf numFmtId="0" fontId="2" fillId="6" borderId="0" xfId="0" applyFont="1" applyFill="1"/>
    <xf numFmtId="164" fontId="18" fillId="0" borderId="40" xfId="2" applyNumberFormat="1" applyFont="1" applyFill="1" applyBorder="1" applyAlignment="1">
      <alignment horizontal="center"/>
    </xf>
    <xf numFmtId="0" fontId="9" fillId="0" borderId="30" xfId="3" applyNumberFormat="1" applyFont="1" applyFill="1" applyBorder="1" applyAlignment="1"/>
    <xf numFmtId="164" fontId="18" fillId="0" borderId="30" xfId="2" applyNumberFormat="1" applyFont="1" applyFill="1" applyBorder="1" applyAlignment="1">
      <alignment horizontal="center"/>
    </xf>
    <xf numFmtId="164" fontId="15" fillId="0" borderId="30" xfId="2" applyNumberFormat="1" applyFont="1" applyFill="1" applyBorder="1" applyAlignment="1">
      <alignment horizontal="left"/>
    </xf>
    <xf numFmtId="0" fontId="2" fillId="7" borderId="0" xfId="0" applyFont="1" applyFill="1"/>
    <xf numFmtId="0" fontId="4" fillId="0" borderId="44" xfId="0" applyFont="1" applyFill="1" applyBorder="1"/>
    <xf numFmtId="3" fontId="9" fillId="0" borderId="39" xfId="0" applyNumberFormat="1" applyFont="1" applyFill="1" applyBorder="1"/>
    <xf numFmtId="38" fontId="4" fillId="0" borderId="43" xfId="0" applyNumberFormat="1" applyFont="1" applyFill="1" applyBorder="1"/>
    <xf numFmtId="164" fontId="13" fillId="5" borderId="34" xfId="2" applyNumberFormat="1" applyFont="1" applyFill="1" applyBorder="1" applyAlignment="1"/>
    <xf numFmtId="164" fontId="15" fillId="0" borderId="46" xfId="2" applyNumberFormat="1" applyFont="1" applyFill="1" applyBorder="1" applyAlignment="1"/>
    <xf numFmtId="0" fontId="2" fillId="8" borderId="0" xfId="0" applyFont="1" applyFill="1"/>
    <xf numFmtId="0" fontId="4" fillId="0" borderId="47" xfId="0" applyFont="1" applyFill="1" applyBorder="1"/>
    <xf numFmtId="0" fontId="2" fillId="9" borderId="0" xfId="0" applyFont="1" applyFill="1"/>
    <xf numFmtId="164" fontId="9" fillId="0" borderId="30" xfId="2" applyNumberFormat="1" applyFont="1" applyFill="1" applyBorder="1" applyAlignment="1"/>
    <xf numFmtId="0" fontId="2" fillId="2" borderId="0" xfId="0" applyFont="1" applyFill="1"/>
    <xf numFmtId="0" fontId="4" fillId="0" borderId="54" xfId="0" applyFont="1" applyFill="1" applyBorder="1"/>
    <xf numFmtId="38" fontId="4" fillId="0" borderId="55" xfId="0" applyNumberFormat="1" applyFont="1" applyFill="1" applyBorder="1"/>
    <xf numFmtId="0" fontId="4" fillId="0" borderId="53" xfId="0" applyFont="1" applyFill="1" applyBorder="1"/>
    <xf numFmtId="0" fontId="9" fillId="0" borderId="56" xfId="0" applyFont="1" applyFill="1" applyBorder="1"/>
    <xf numFmtId="38" fontId="4" fillId="0" borderId="54" xfId="0" applyNumberFormat="1" applyFont="1" applyFill="1" applyBorder="1"/>
    <xf numFmtId="164" fontId="18" fillId="0" borderId="52" xfId="2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164" fontId="8" fillId="4" borderId="15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164" fontId="6" fillId="4" borderId="23" xfId="2" applyNumberFormat="1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164" fontId="19" fillId="4" borderId="61" xfId="2" applyNumberFormat="1" applyFont="1" applyFill="1" applyBorder="1" applyAlignment="1">
      <alignment horizontal="center" vertical="center"/>
    </xf>
    <xf numFmtId="164" fontId="6" fillId="4" borderId="59" xfId="2" applyNumberFormat="1" applyFont="1" applyFill="1" applyBorder="1" applyAlignment="1">
      <alignment horizontal="center" vertical="center"/>
    </xf>
    <xf numFmtId="164" fontId="20" fillId="3" borderId="0" xfId="2" applyNumberFormat="1" applyFont="1" applyFill="1" applyBorder="1" applyAlignment="1">
      <alignment vertical="center"/>
    </xf>
    <xf numFmtId="164" fontId="20" fillId="3" borderId="63" xfId="2" applyNumberFormat="1" applyFont="1" applyFill="1" applyBorder="1" applyAlignment="1">
      <alignment vertical="center"/>
    </xf>
    <xf numFmtId="165" fontId="21" fillId="3" borderId="0" xfId="1" applyNumberFormat="1" applyFont="1" applyFill="1" applyBorder="1" applyAlignment="1">
      <alignment horizontal="center" vertical="center"/>
    </xf>
    <xf numFmtId="10" fontId="21" fillId="3" borderId="0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164" fontId="20" fillId="0" borderId="0" xfId="2" applyNumberFormat="1" applyFont="1" applyFill="1" applyBorder="1" applyAlignment="1">
      <alignment vertical="center"/>
    </xf>
    <xf numFmtId="164" fontId="23" fillId="0" borderId="0" xfId="2" applyNumberFormat="1" applyFont="1" applyFill="1" applyBorder="1" applyAlignment="1">
      <alignment horizontal="center" vertical="center"/>
    </xf>
    <xf numFmtId="164" fontId="23" fillId="3" borderId="0" xfId="2" applyNumberFormat="1" applyFont="1" applyFill="1" applyBorder="1" applyAlignment="1">
      <alignment horizontal="center" vertical="center"/>
    </xf>
    <xf numFmtId="164" fontId="23" fillId="0" borderId="0" xfId="2" applyNumberFormat="1" applyFont="1" applyFill="1" applyBorder="1" applyAlignment="1">
      <alignment vertical="center"/>
    </xf>
    <xf numFmtId="164" fontId="23" fillId="3" borderId="0" xfId="2" applyNumberFormat="1" applyFont="1" applyFill="1" applyBorder="1" applyAlignment="1">
      <alignment vertical="center"/>
    </xf>
    <xf numFmtId="0" fontId="2" fillId="3" borderId="0" xfId="0" applyFont="1" applyFill="1" applyAlignment="1">
      <alignment horizontal="right"/>
    </xf>
    <xf numFmtId="0" fontId="24" fillId="3" borderId="0" xfId="0" applyFont="1" applyFill="1"/>
    <xf numFmtId="37" fontId="25" fillId="3" borderId="0" xfId="2" applyNumberFormat="1" applyFont="1" applyFill="1" applyBorder="1" applyAlignment="1">
      <alignment vertical="center"/>
    </xf>
    <xf numFmtId="0" fontId="3" fillId="3" borderId="0" xfId="0" applyFont="1" applyFill="1"/>
    <xf numFmtId="38" fontId="26" fillId="3" borderId="0" xfId="2" applyNumberFormat="1" applyFont="1" applyFill="1" applyAlignment="1">
      <alignment horizontal="center" vertical="center"/>
    </xf>
    <xf numFmtId="164" fontId="11" fillId="4" borderId="12" xfId="2" applyNumberFormat="1" applyFont="1" applyFill="1" applyBorder="1" applyAlignment="1">
      <alignment vertical="center"/>
    </xf>
    <xf numFmtId="164" fontId="11" fillId="4" borderId="53" xfId="2" applyNumberFormat="1" applyFont="1" applyFill="1" applyBorder="1" applyAlignment="1">
      <alignment horizontal="center" vertical="center"/>
    </xf>
    <xf numFmtId="164" fontId="11" fillId="4" borderId="58" xfId="2" applyNumberFormat="1" applyFont="1" applyFill="1" applyBorder="1" applyAlignment="1">
      <alignment horizontal="center" vertical="center"/>
    </xf>
    <xf numFmtId="164" fontId="11" fillId="4" borderId="53" xfId="2" applyNumberFormat="1" applyFont="1" applyFill="1" applyBorder="1" applyAlignment="1">
      <alignment vertical="center"/>
    </xf>
    <xf numFmtId="164" fontId="11" fillId="4" borderId="55" xfId="2" applyNumberFormat="1" applyFont="1" applyFill="1" applyBorder="1" applyAlignment="1">
      <alignment horizontal="center" vertical="center"/>
    </xf>
    <xf numFmtId="164" fontId="11" fillId="4" borderId="10" xfId="2" applyNumberFormat="1" applyFont="1" applyFill="1" applyBorder="1" applyAlignment="1">
      <alignment horizontal="center" vertical="center"/>
    </xf>
    <xf numFmtId="164" fontId="11" fillId="4" borderId="11" xfId="2" applyNumberFormat="1" applyFont="1" applyFill="1" applyBorder="1" applyAlignment="1">
      <alignment horizontal="center" vertical="center"/>
    </xf>
    <xf numFmtId="164" fontId="11" fillId="4" borderId="10" xfId="2" applyNumberFormat="1" applyFont="1" applyFill="1" applyBorder="1" applyAlignment="1">
      <alignment vertical="center"/>
    </xf>
    <xf numFmtId="164" fontId="11" fillId="4" borderId="13" xfId="2" applyNumberFormat="1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vertical="center"/>
    </xf>
    <xf numFmtId="49" fontId="9" fillId="4" borderId="60" xfId="2" applyNumberFormat="1" applyFont="1" applyFill="1" applyBorder="1" applyAlignment="1">
      <alignment horizontal="center" vertical="center"/>
    </xf>
    <xf numFmtId="49" fontId="9" fillId="4" borderId="59" xfId="2" applyNumberFormat="1" applyFont="1" applyFill="1" applyBorder="1" applyAlignment="1">
      <alignment horizontal="center" vertical="center"/>
    </xf>
    <xf numFmtId="49" fontId="9" fillId="4" borderId="57" xfId="2" applyNumberFormat="1" applyFont="1" applyFill="1" applyBorder="1" applyAlignment="1">
      <alignment horizontal="center" vertical="center"/>
    </xf>
    <xf numFmtId="49" fontId="9" fillId="4" borderId="23" xfId="2" applyNumberFormat="1" applyFont="1" applyFill="1" applyBorder="1" applyAlignment="1">
      <alignment horizontal="center" vertical="center"/>
    </xf>
    <xf numFmtId="49" fontId="11" fillId="4" borderId="57" xfId="2" applyNumberFormat="1" applyFont="1" applyFill="1" applyBorder="1" applyAlignment="1">
      <alignment horizontal="center" vertical="center"/>
    </xf>
    <xf numFmtId="49" fontId="11" fillId="4" borderId="23" xfId="2" applyNumberFormat="1" applyFont="1" applyFill="1" applyBorder="1" applyAlignment="1">
      <alignment horizontal="center" vertical="center"/>
    </xf>
    <xf numFmtId="49" fontId="11" fillId="4" borderId="11" xfId="2" applyNumberFormat="1" applyFont="1" applyFill="1" applyBorder="1" applyAlignment="1">
      <alignment horizontal="center" vertical="center"/>
    </xf>
    <xf numFmtId="49" fontId="11" fillId="4" borderId="15" xfId="2" applyNumberFormat="1" applyFont="1" applyFill="1" applyBorder="1" applyAlignment="1">
      <alignment horizontal="center" vertical="center"/>
    </xf>
    <xf numFmtId="0" fontId="4" fillId="0" borderId="52" xfId="0" applyFont="1" applyFill="1" applyBorder="1"/>
    <xf numFmtId="49" fontId="9" fillId="0" borderId="45" xfId="3" applyNumberFormat="1" applyFont="1" applyFill="1" applyBorder="1" applyAlignment="1">
      <alignment horizontal="center"/>
    </xf>
    <xf numFmtId="0" fontId="9" fillId="0" borderId="50" xfId="3" applyNumberFormat="1" applyFont="1" applyFill="1" applyBorder="1" applyAlignment="1"/>
    <xf numFmtId="0" fontId="9" fillId="0" borderId="45" xfId="2" applyFont="1" applyFill="1" applyBorder="1"/>
    <xf numFmtId="0" fontId="9" fillId="0" borderId="24" xfId="2" applyFont="1" applyFill="1" applyBorder="1"/>
    <xf numFmtId="49" fontId="9" fillId="0" borderId="51" xfId="3" applyNumberFormat="1" applyFont="1" applyFill="1" applyBorder="1" applyAlignment="1">
      <alignment horizontal="center"/>
    </xf>
    <xf numFmtId="0" fontId="4" fillId="0" borderId="49" xfId="0" applyFont="1" applyFill="1" applyBorder="1"/>
    <xf numFmtId="49" fontId="9" fillId="0" borderId="48" xfId="3" applyNumberFormat="1" applyFont="1" applyFill="1" applyBorder="1" applyAlignment="1">
      <alignment horizontal="center"/>
    </xf>
    <xf numFmtId="0" fontId="9" fillId="0" borderId="45" xfId="3" applyNumberFormat="1" applyFont="1" applyFill="1" applyBorder="1" applyAlignment="1"/>
    <xf numFmtId="0" fontId="9" fillId="0" borderId="24" xfId="3" applyNumberFormat="1" applyFont="1" applyFill="1" applyBorder="1" applyAlignment="1"/>
    <xf numFmtId="38" fontId="10" fillId="5" borderId="34" xfId="0" applyNumberFormat="1" applyFont="1" applyFill="1" applyBorder="1"/>
    <xf numFmtId="0" fontId="4" fillId="0" borderId="23" xfId="0" applyFont="1" applyFill="1" applyBorder="1"/>
    <xf numFmtId="49" fontId="9" fillId="0" borderId="24" xfId="3" applyNumberFormat="1" applyFont="1" applyFill="1" applyBorder="1" applyAlignment="1">
      <alignment horizontal="center"/>
    </xf>
    <xf numFmtId="0" fontId="9" fillId="0" borderId="23" xfId="0" applyFont="1" applyFill="1" applyBorder="1"/>
    <xf numFmtId="49" fontId="9" fillId="0" borderId="40" xfId="3" applyNumberFormat="1" applyFont="1" applyFill="1" applyBorder="1" applyAlignment="1">
      <alignment horizontal="center"/>
    </xf>
    <xf numFmtId="0" fontId="9" fillId="0" borderId="41" xfId="3" applyNumberFormat="1" applyFont="1" applyFill="1" applyBorder="1" applyAlignment="1"/>
    <xf numFmtId="0" fontId="9" fillId="0" borderId="40" xfId="2" applyFont="1" applyFill="1" applyBorder="1"/>
    <xf numFmtId="49" fontId="9" fillId="0" borderId="16" xfId="3" applyNumberFormat="1" applyFont="1" applyFill="1" applyBorder="1" applyAlignment="1">
      <alignment horizontal="center"/>
    </xf>
    <xf numFmtId="0" fontId="9" fillId="0" borderId="16" xfId="3" applyNumberFormat="1" applyFont="1" applyFill="1" applyBorder="1" applyAlignment="1"/>
    <xf numFmtId="0" fontId="9" fillId="0" borderId="16" xfId="2" applyFont="1" applyFill="1" applyBorder="1"/>
    <xf numFmtId="38" fontId="10" fillId="5" borderId="15" xfId="0" applyNumberFormat="1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/>
    <xf numFmtId="0" fontId="4" fillId="0" borderId="16" xfId="0" applyFont="1" applyFill="1" applyBorder="1" applyAlignment="1">
      <alignment horizontal="center"/>
    </xf>
    <xf numFmtId="0" fontId="9" fillId="0" borderId="16" xfId="0" applyFont="1" applyFill="1" applyBorder="1"/>
    <xf numFmtId="0" fontId="4" fillId="0" borderId="16" xfId="0" applyFont="1" applyFill="1" applyBorder="1"/>
    <xf numFmtId="0" fontId="4" fillId="3" borderId="0" xfId="0" applyFont="1" applyFill="1"/>
    <xf numFmtId="49" fontId="9" fillId="9" borderId="45" xfId="3" applyNumberFormat="1" applyFont="1" applyFill="1" applyBorder="1" applyAlignment="1">
      <alignment horizontal="center"/>
    </xf>
    <xf numFmtId="164" fontId="13" fillId="9" borderId="0" xfId="2" applyNumberFormat="1" applyFont="1" applyFill="1" applyBorder="1" applyAlignment="1">
      <alignment vertical="center"/>
    </xf>
    <xf numFmtId="0" fontId="9" fillId="0" borderId="50" xfId="3" applyNumberFormat="1" applyFont="1" applyFill="1" applyBorder="1" applyAlignment="1">
      <alignment horizontal="center"/>
    </xf>
    <xf numFmtId="49" fontId="9" fillId="0" borderId="64" xfId="3" applyNumberFormat="1" applyFont="1" applyFill="1" applyBorder="1" applyAlignment="1">
      <alignment horizontal="center"/>
    </xf>
    <xf numFmtId="49" fontId="9" fillId="4" borderId="62" xfId="2" applyNumberFormat="1" applyFont="1" applyFill="1" applyBorder="1" applyAlignment="1">
      <alignment horizontal="center" vertical="center"/>
    </xf>
    <xf numFmtId="49" fontId="9" fillId="4" borderId="0" xfId="2" applyNumberFormat="1" applyFont="1" applyFill="1" applyBorder="1" applyAlignment="1">
      <alignment horizontal="center" vertical="center"/>
    </xf>
    <xf numFmtId="49" fontId="11" fillId="4" borderId="0" xfId="2" applyNumberFormat="1" applyFont="1" applyFill="1" applyBorder="1" applyAlignment="1">
      <alignment horizontal="center" vertical="center"/>
    </xf>
    <xf numFmtId="49" fontId="11" fillId="4" borderId="12" xfId="2" applyNumberFormat="1" applyFont="1" applyFill="1" applyBorder="1" applyAlignment="1">
      <alignment horizontal="center" vertical="center"/>
    </xf>
    <xf numFmtId="49" fontId="9" fillId="0" borderId="65" xfId="3" applyNumberFormat="1" applyFont="1" applyFill="1" applyBorder="1" applyAlignment="1">
      <alignment horizontal="center"/>
    </xf>
    <xf numFmtId="49" fontId="9" fillId="0" borderId="50" xfId="3" applyNumberFormat="1" applyFont="1" applyFill="1" applyBorder="1" applyAlignment="1">
      <alignment horizontal="center"/>
    </xf>
    <xf numFmtId="49" fontId="9" fillId="0" borderId="66" xfId="3" applyNumberFormat="1" applyFont="1" applyFill="1" applyBorder="1" applyAlignment="1">
      <alignment horizontal="center"/>
    </xf>
    <xf numFmtId="49" fontId="9" fillId="0" borderId="67" xfId="3" applyNumberFormat="1" applyFont="1" applyFill="1" applyBorder="1" applyAlignment="1">
      <alignment horizontal="center"/>
    </xf>
    <xf numFmtId="0" fontId="4" fillId="0" borderId="57" xfId="0" applyFont="1" applyFill="1" applyBorder="1"/>
    <xf numFmtId="0" fontId="9" fillId="0" borderId="42" xfId="3" applyNumberFormat="1" applyFont="1" applyFill="1" applyBorder="1" applyAlignment="1">
      <alignment horizontal="center"/>
    </xf>
    <xf numFmtId="0" fontId="9" fillId="0" borderId="68" xfId="3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10" fillId="5" borderId="12" xfId="0" applyFont="1" applyFill="1" applyBorder="1"/>
    <xf numFmtId="0" fontId="4" fillId="4" borderId="63" xfId="0" applyFont="1" applyFill="1" applyBorder="1"/>
    <xf numFmtId="49" fontId="9" fillId="0" borderId="69" xfId="3" applyNumberFormat="1" applyFont="1" applyFill="1" applyBorder="1" applyAlignment="1">
      <alignment horizontal="center"/>
    </xf>
    <xf numFmtId="49" fontId="9" fillId="0" borderId="70" xfId="3" applyNumberFormat="1" applyFont="1" applyFill="1" applyBorder="1" applyAlignment="1">
      <alignment horizontal="center"/>
    </xf>
    <xf numFmtId="49" fontId="9" fillId="0" borderId="71" xfId="3" applyNumberFormat="1" applyFont="1" applyFill="1" applyBorder="1" applyAlignment="1">
      <alignment horizontal="center"/>
    </xf>
    <xf numFmtId="49" fontId="9" fillId="0" borderId="72" xfId="3" applyNumberFormat="1" applyFont="1" applyFill="1" applyBorder="1" applyAlignment="1">
      <alignment horizontal="center"/>
    </xf>
    <xf numFmtId="49" fontId="9" fillId="4" borderId="61" xfId="2" applyNumberFormat="1" applyFont="1" applyFill="1" applyBorder="1" applyAlignment="1">
      <alignment horizontal="center" vertical="center"/>
    </xf>
    <xf numFmtId="164" fontId="11" fillId="4" borderId="31" xfId="2" applyNumberFormat="1" applyFont="1" applyFill="1" applyBorder="1" applyAlignment="1">
      <alignment vertical="center"/>
    </xf>
    <xf numFmtId="0" fontId="9" fillId="10" borderId="56" xfId="0" applyFont="1" applyFill="1" applyBorder="1"/>
    <xf numFmtId="0" fontId="5" fillId="10" borderId="53" xfId="0" applyFont="1" applyFill="1" applyBorder="1"/>
    <xf numFmtId="3" fontId="9" fillId="10" borderId="27" xfId="0" applyNumberFormat="1" applyFont="1" applyFill="1" applyBorder="1"/>
    <xf numFmtId="0" fontId="5" fillId="10" borderId="25" xfId="0" applyFont="1" applyFill="1" applyBorder="1"/>
    <xf numFmtId="0" fontId="5" fillId="10" borderId="47" xfId="0" applyFont="1" applyFill="1" applyBorder="1"/>
    <xf numFmtId="3" fontId="11" fillId="10" borderId="3" xfId="0" applyNumberFormat="1" applyFont="1" applyFill="1" applyBorder="1"/>
    <xf numFmtId="0" fontId="7" fillId="10" borderId="35" xfId="0" applyFont="1" applyFill="1" applyBorder="1"/>
    <xf numFmtId="3" fontId="9" fillId="10" borderId="39" xfId="0" applyNumberFormat="1" applyFont="1" applyFill="1" applyBorder="1"/>
    <xf numFmtId="0" fontId="5" fillId="10" borderId="29" xfId="0" applyFont="1" applyFill="1" applyBorder="1"/>
    <xf numFmtId="3" fontId="9" fillId="10" borderId="21" xfId="0" applyNumberFormat="1" applyFont="1" applyFill="1" applyBorder="1"/>
    <xf numFmtId="0" fontId="5" fillId="10" borderId="17" xfId="0" applyFont="1" applyFill="1" applyBorder="1"/>
    <xf numFmtId="3" fontId="11" fillId="10" borderId="14" xfId="0" applyNumberFormat="1" applyFont="1" applyFill="1" applyBorder="1"/>
    <xf numFmtId="0" fontId="7" fillId="10" borderId="10" xfId="0" applyFont="1" applyFill="1" applyBorder="1"/>
    <xf numFmtId="3" fontId="9" fillId="10" borderId="33" xfId="0" applyNumberFormat="1" applyFont="1" applyFill="1" applyBorder="1"/>
    <xf numFmtId="0" fontId="5" fillId="10" borderId="31" xfId="0" applyFont="1" applyFill="1" applyBorder="1"/>
    <xf numFmtId="38" fontId="11" fillId="10" borderId="12" xfId="0" applyNumberFormat="1" applyFont="1" applyFill="1" applyBorder="1"/>
    <xf numFmtId="0" fontId="10" fillId="10" borderId="10" xfId="0" applyFont="1" applyFill="1" applyBorder="1"/>
    <xf numFmtId="38" fontId="10" fillId="10" borderId="6" xfId="0" applyNumberFormat="1" applyFont="1" applyFill="1" applyBorder="1"/>
    <xf numFmtId="0" fontId="4" fillId="10" borderId="4" xfId="0" applyFont="1" applyFill="1" applyBorder="1"/>
    <xf numFmtId="49" fontId="3" fillId="0" borderId="73" xfId="2" applyNumberFormat="1" applyFont="1" applyFill="1" applyBorder="1" applyAlignment="1">
      <alignment horizontal="center"/>
    </xf>
    <xf numFmtId="49" fontId="11" fillId="4" borderId="34" xfId="2" applyNumberFormat="1" applyFont="1" applyFill="1" applyBorder="1" applyAlignment="1">
      <alignment horizontal="center" vertical="center"/>
    </xf>
    <xf numFmtId="0" fontId="3" fillId="0" borderId="75" xfId="2" applyFont="1" applyFill="1" applyBorder="1" applyAlignment="1">
      <alignment horizontal="center"/>
    </xf>
    <xf numFmtId="0" fontId="3" fillId="0" borderId="74" xfId="2" applyFont="1" applyFill="1" applyBorder="1" applyAlignment="1">
      <alignment horizontal="center"/>
    </xf>
    <xf numFmtId="49" fontId="3" fillId="0" borderId="76" xfId="2" applyNumberFormat="1" applyFont="1" applyFill="1" applyBorder="1" applyAlignment="1">
      <alignment horizontal="center"/>
    </xf>
    <xf numFmtId="49" fontId="3" fillId="0" borderId="75" xfId="2" applyNumberFormat="1" applyFont="1" applyFill="1" applyBorder="1" applyAlignment="1">
      <alignment horizontal="center"/>
    </xf>
    <xf numFmtId="10" fontId="27" fillId="0" borderId="12" xfId="1" applyNumberFormat="1" applyFont="1" applyFill="1" applyBorder="1" applyAlignment="1">
      <alignment horizontal="center" vertical="center"/>
    </xf>
    <xf numFmtId="164" fontId="28" fillId="3" borderId="0" xfId="2" applyNumberFormat="1" applyFont="1" applyFill="1" applyBorder="1" applyAlignment="1">
      <alignment vertical="center"/>
    </xf>
    <xf numFmtId="10" fontId="30" fillId="3" borderId="0" xfId="1" applyNumberFormat="1" applyFont="1" applyFill="1" applyBorder="1" applyAlignment="1">
      <alignment horizontal="center" vertical="center"/>
    </xf>
    <xf numFmtId="165" fontId="30" fillId="3" borderId="0" xfId="1" applyNumberFormat="1" applyFont="1" applyFill="1" applyBorder="1" applyAlignment="1">
      <alignment horizontal="center" vertical="center"/>
    </xf>
    <xf numFmtId="10" fontId="27" fillId="0" borderId="0" xfId="1" applyNumberFormat="1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78" xfId="0" applyFont="1" applyFill="1" applyBorder="1"/>
    <xf numFmtId="0" fontId="10" fillId="5" borderId="2" xfId="0" applyFont="1" applyFill="1" applyBorder="1"/>
    <xf numFmtId="0" fontId="4" fillId="0" borderId="43" xfId="0" applyFont="1" applyFill="1" applyBorder="1"/>
    <xf numFmtId="0" fontId="4" fillId="0" borderId="19" xfId="0" applyFont="1" applyFill="1" applyBorder="1"/>
    <xf numFmtId="3" fontId="4" fillId="0" borderId="26" xfId="0" applyNumberFormat="1" applyFont="1" applyFill="1" applyBorder="1"/>
    <xf numFmtId="164" fontId="11" fillId="11" borderId="55" xfId="2" applyNumberFormat="1" applyFont="1" applyFill="1" applyBorder="1" applyAlignment="1">
      <alignment horizontal="center" vertical="center"/>
    </xf>
    <xf numFmtId="164" fontId="11" fillId="11" borderId="13" xfId="2" applyNumberFormat="1" applyFont="1" applyFill="1" applyBorder="1" applyAlignment="1">
      <alignment horizontal="center" vertical="center"/>
    </xf>
    <xf numFmtId="0" fontId="11" fillId="11" borderId="0" xfId="2" applyFont="1" applyFill="1" applyBorder="1" applyAlignment="1">
      <alignment horizontal="center" vertical="center"/>
    </xf>
    <xf numFmtId="0" fontId="11" fillId="11" borderId="12" xfId="2" applyFont="1" applyFill="1" applyBorder="1" applyAlignment="1">
      <alignment horizontal="center" vertical="center"/>
    </xf>
    <xf numFmtId="164" fontId="15" fillId="0" borderId="23" xfId="2" applyNumberFormat="1" applyFont="1" applyFill="1" applyBorder="1" applyAlignment="1">
      <alignment horizontal="left"/>
    </xf>
    <xf numFmtId="3" fontId="9" fillId="0" borderId="0" xfId="0" applyNumberFormat="1" applyFont="1" applyFill="1" applyBorder="1"/>
    <xf numFmtId="0" fontId="4" fillId="12" borderId="26" xfId="0" applyFont="1" applyFill="1" applyBorder="1"/>
    <xf numFmtId="0" fontId="4" fillId="12" borderId="43" xfId="0" applyFont="1" applyFill="1" applyBorder="1"/>
    <xf numFmtId="164" fontId="15" fillId="0" borderId="23" xfId="2" applyNumberFormat="1" applyFont="1" applyFill="1" applyBorder="1" applyAlignment="1"/>
    <xf numFmtId="3" fontId="4" fillId="0" borderId="0" xfId="0" applyNumberFormat="1" applyFont="1" applyFill="1" applyBorder="1"/>
    <xf numFmtId="3" fontId="10" fillId="5" borderId="14" xfId="0" applyNumberFormat="1" applyFont="1" applyFill="1" applyBorder="1"/>
    <xf numFmtId="3" fontId="10" fillId="5" borderId="2" xfId="0" applyNumberFormat="1" applyFont="1" applyFill="1" applyBorder="1"/>
    <xf numFmtId="38" fontId="10" fillId="5" borderId="12" xfId="0" applyNumberFormat="1" applyFont="1" applyFill="1" applyBorder="1" applyAlignment="1">
      <alignment horizontal="right"/>
    </xf>
    <xf numFmtId="38" fontId="10" fillId="5" borderId="37" xfId="0" applyNumberFormat="1" applyFont="1" applyFill="1" applyBorder="1" applyAlignment="1">
      <alignment horizontal="right"/>
    </xf>
    <xf numFmtId="38" fontId="10" fillId="5" borderId="1" xfId="0" applyNumberFormat="1" applyFont="1" applyFill="1" applyBorder="1" applyAlignment="1">
      <alignment horizontal="right"/>
    </xf>
    <xf numFmtId="38" fontId="10" fillId="5" borderId="3" xfId="0" applyNumberFormat="1" applyFont="1" applyFill="1" applyBorder="1" applyAlignment="1">
      <alignment horizontal="right"/>
    </xf>
    <xf numFmtId="3" fontId="9" fillId="0" borderId="82" xfId="0" applyNumberFormat="1" applyFont="1" applyFill="1" applyBorder="1"/>
    <xf numFmtId="38" fontId="10" fillId="4" borderId="63" xfId="0" applyNumberFormat="1" applyFont="1" applyFill="1" applyBorder="1"/>
    <xf numFmtId="38" fontId="10" fillId="5" borderId="2" xfId="0" applyNumberFormat="1" applyFont="1" applyFill="1" applyBorder="1" applyAlignment="1">
      <alignment horizontal="right"/>
    </xf>
    <xf numFmtId="38" fontId="4" fillId="0" borderId="83" xfId="0" applyNumberFormat="1" applyFont="1" applyFill="1" applyBorder="1"/>
    <xf numFmtId="38" fontId="4" fillId="0" borderId="13" xfId="0" applyNumberFormat="1" applyFont="1" applyFill="1" applyBorder="1"/>
    <xf numFmtId="38" fontId="4" fillId="0" borderId="84" xfId="0" applyNumberFormat="1" applyFont="1" applyFill="1" applyBorder="1"/>
    <xf numFmtId="164" fontId="23" fillId="3" borderId="0" xfId="2" applyNumberFormat="1" applyFont="1" applyFill="1" applyBorder="1" applyAlignment="1">
      <alignment horizontal="center" vertical="center"/>
    </xf>
    <xf numFmtId="164" fontId="19" fillId="4" borderId="61" xfId="2" applyNumberFormat="1" applyFont="1" applyFill="1" applyBorder="1" applyAlignment="1">
      <alignment horizontal="center" vertical="center"/>
    </xf>
    <xf numFmtId="164" fontId="11" fillId="4" borderId="53" xfId="2" applyNumberFormat="1" applyFont="1" applyFill="1" applyBorder="1" applyAlignment="1">
      <alignment horizontal="center" vertical="center"/>
    </xf>
    <xf numFmtId="164" fontId="11" fillId="4" borderId="10" xfId="2" applyNumberFormat="1" applyFont="1" applyFill="1" applyBorder="1" applyAlignment="1">
      <alignment horizontal="center" vertical="center"/>
    </xf>
    <xf numFmtId="164" fontId="11" fillId="4" borderId="11" xfId="2" applyNumberFormat="1" applyFont="1" applyFill="1" applyBorder="1" applyAlignment="1">
      <alignment horizontal="center" vertical="center"/>
    </xf>
    <xf numFmtId="164" fontId="11" fillId="4" borderId="58" xfId="2" applyNumberFormat="1" applyFont="1" applyFill="1" applyBorder="1" applyAlignment="1">
      <alignment horizontal="center" vertical="center"/>
    </xf>
    <xf numFmtId="38" fontId="31" fillId="0" borderId="28" xfId="0" applyNumberFormat="1" applyFont="1" applyFill="1" applyBorder="1"/>
    <xf numFmtId="3" fontId="31" fillId="0" borderId="27" xfId="0" applyNumberFormat="1" applyFont="1" applyFill="1" applyBorder="1"/>
    <xf numFmtId="0" fontId="9" fillId="0" borderId="25" xfId="0" applyFont="1" applyFill="1" applyBorder="1"/>
    <xf numFmtId="0" fontId="9" fillId="0" borderId="26" xfId="0" applyFont="1" applyFill="1" applyBorder="1"/>
    <xf numFmtId="3" fontId="9" fillId="0" borderId="26" xfId="0" applyNumberFormat="1" applyFont="1" applyFill="1" applyBorder="1"/>
    <xf numFmtId="0" fontId="4" fillId="0" borderId="58" xfId="0" applyFont="1" applyFill="1" applyBorder="1"/>
    <xf numFmtId="0" fontId="9" fillId="0" borderId="85" xfId="0" applyFont="1" applyFill="1" applyBorder="1"/>
    <xf numFmtId="3" fontId="9" fillId="0" borderId="86" xfId="0" applyNumberFormat="1" applyFont="1" applyFill="1" applyBorder="1"/>
    <xf numFmtId="3" fontId="31" fillId="0" borderId="86" xfId="0" applyNumberFormat="1" applyFont="1" applyFill="1" applyBorder="1"/>
    <xf numFmtId="3" fontId="9" fillId="0" borderId="31" xfId="0" applyNumberFormat="1" applyFont="1" applyFill="1" applyBorder="1"/>
    <xf numFmtId="38" fontId="10" fillId="5" borderId="35" xfId="0" applyNumberFormat="1" applyFont="1" applyFill="1" applyBorder="1"/>
    <xf numFmtId="3" fontId="9" fillId="0" borderId="87" xfId="0" applyNumberFormat="1" applyFont="1" applyFill="1" applyBorder="1"/>
    <xf numFmtId="3" fontId="9" fillId="0" borderId="88" xfId="0" applyNumberFormat="1" applyFont="1" applyFill="1" applyBorder="1"/>
    <xf numFmtId="3" fontId="10" fillId="5" borderId="81" xfId="0" applyNumberFormat="1" applyFont="1" applyFill="1" applyBorder="1"/>
    <xf numFmtId="3" fontId="10" fillId="5" borderId="35" xfId="0" applyNumberFormat="1" applyFont="1" applyFill="1" applyBorder="1"/>
    <xf numFmtId="3" fontId="9" fillId="0" borderId="89" xfId="0" applyNumberFormat="1" applyFont="1" applyFill="1" applyBorder="1"/>
    <xf numFmtId="38" fontId="10" fillId="5" borderId="35" xfId="0" applyNumberFormat="1" applyFont="1" applyFill="1" applyBorder="1" applyAlignment="1">
      <alignment horizontal="right"/>
    </xf>
    <xf numFmtId="38" fontId="10" fillId="4" borderId="90" xfId="0" applyNumberFormat="1" applyFont="1" applyFill="1" applyBorder="1"/>
    <xf numFmtId="38" fontId="10" fillId="4" borderId="91" xfId="0" applyNumberFormat="1" applyFont="1" applyFill="1" applyBorder="1"/>
    <xf numFmtId="0" fontId="6" fillId="0" borderId="50" xfId="3" applyNumberFormat="1" applyFont="1" applyFill="1" applyBorder="1" applyAlignment="1"/>
    <xf numFmtId="0" fontId="6" fillId="0" borderId="24" xfId="2" applyFont="1" applyFill="1" applyBorder="1"/>
    <xf numFmtId="0" fontId="5" fillId="0" borderId="49" xfId="0" applyFont="1" applyFill="1" applyBorder="1"/>
    <xf numFmtId="0" fontId="6" fillId="0" borderId="24" xfId="3" applyNumberFormat="1" applyFont="1" applyFill="1" applyBorder="1" applyAlignment="1"/>
    <xf numFmtId="0" fontId="6" fillId="0" borderId="23" xfId="2" applyFont="1" applyFill="1" applyBorder="1"/>
    <xf numFmtId="0" fontId="5" fillId="0" borderId="23" xfId="0" applyFont="1" applyFill="1" applyBorder="1"/>
    <xf numFmtId="0" fontId="6" fillId="0" borderId="23" xfId="3" applyNumberFormat="1" applyFont="1" applyFill="1" applyBorder="1" applyAlignment="1"/>
    <xf numFmtId="0" fontId="6" fillId="0" borderId="23" xfId="0" applyFont="1" applyFill="1" applyBorder="1"/>
    <xf numFmtId="0" fontId="6" fillId="0" borderId="40" xfId="2" applyFont="1" applyFill="1" applyBorder="1"/>
    <xf numFmtId="164" fontId="32" fillId="0" borderId="26" xfId="2" quotePrefix="1" applyNumberFormat="1" applyFont="1" applyFill="1" applyBorder="1" applyAlignment="1"/>
    <xf numFmtId="3" fontId="6" fillId="0" borderId="27" xfId="0" applyNumberFormat="1" applyFont="1" applyFill="1" applyBorder="1"/>
    <xf numFmtId="49" fontId="32" fillId="0" borderId="26" xfId="2" applyNumberFormat="1" applyFont="1" applyFill="1" applyBorder="1" applyAlignment="1"/>
    <xf numFmtId="49" fontId="32" fillId="0" borderId="78" xfId="2" applyNumberFormat="1" applyFont="1" applyFill="1" applyBorder="1" applyAlignment="1"/>
    <xf numFmtId="3" fontId="6" fillId="0" borderId="0" xfId="0" applyNumberFormat="1" applyFont="1" applyFill="1" applyBorder="1"/>
    <xf numFmtId="49" fontId="32" fillId="0" borderId="78" xfId="2" quotePrefix="1" applyNumberFormat="1" applyFont="1" applyFill="1" applyBorder="1" applyAlignment="1"/>
    <xf numFmtId="3" fontId="6" fillId="0" borderId="27" xfId="0" quotePrefix="1" applyNumberFormat="1" applyFont="1" applyFill="1" applyBorder="1"/>
    <xf numFmtId="49" fontId="6" fillId="0" borderId="27" xfId="0" applyNumberFormat="1" applyFont="1" applyFill="1" applyBorder="1"/>
    <xf numFmtId="49" fontId="6" fillId="0" borderId="82" xfId="0" applyNumberFormat="1" applyFont="1" applyFill="1" applyBorder="1"/>
    <xf numFmtId="9" fontId="2" fillId="0" borderId="0" xfId="1" applyFont="1" applyFill="1"/>
    <xf numFmtId="168" fontId="11" fillId="5" borderId="2" xfId="3" applyNumberFormat="1" applyFont="1" applyFill="1" applyBorder="1" applyAlignment="1"/>
    <xf numFmtId="164" fontId="23" fillId="3" borderId="0" xfId="2" applyNumberFormat="1" applyFont="1" applyFill="1" applyBorder="1" applyAlignment="1">
      <alignment horizontal="center" vertical="center"/>
    </xf>
    <xf numFmtId="164" fontId="6" fillId="4" borderId="93" xfId="2" applyNumberFormat="1" applyFont="1" applyFill="1" applyBorder="1" applyAlignment="1">
      <alignment horizontal="center" vertical="center"/>
    </xf>
    <xf numFmtId="0" fontId="19" fillId="4" borderId="95" xfId="0" applyFont="1" applyFill="1" applyBorder="1" applyAlignment="1">
      <alignment horizontal="center" vertical="center"/>
    </xf>
    <xf numFmtId="164" fontId="6" fillId="4" borderId="95" xfId="2" applyNumberFormat="1" applyFont="1" applyFill="1" applyBorder="1" applyAlignment="1">
      <alignment horizontal="center" vertical="center"/>
    </xf>
    <xf numFmtId="164" fontId="11" fillId="4" borderId="93" xfId="2" applyNumberFormat="1" applyFont="1" applyFill="1" applyBorder="1" applyAlignment="1">
      <alignment horizontal="center" vertical="center"/>
    </xf>
    <xf numFmtId="164" fontId="11" fillId="13" borderId="93" xfId="2" applyNumberFormat="1" applyFont="1" applyFill="1" applyBorder="1" applyAlignment="1">
      <alignment horizontal="center" vertical="center"/>
    </xf>
    <xf numFmtId="164" fontId="8" fillId="4" borderId="97" xfId="2" applyNumberFormat="1" applyFont="1" applyFill="1" applyBorder="1" applyAlignment="1">
      <alignment horizontal="center" vertical="center"/>
    </xf>
    <xf numFmtId="164" fontId="11" fillId="4" borderId="97" xfId="2" applyNumberFormat="1" applyFont="1" applyFill="1" applyBorder="1" applyAlignment="1">
      <alignment horizontal="center" vertical="center"/>
    </xf>
    <xf numFmtId="164" fontId="11" fillId="13" borderId="97" xfId="2" applyNumberFormat="1" applyFont="1" applyFill="1" applyBorder="1" applyAlignment="1">
      <alignment horizontal="center" vertical="center"/>
    </xf>
    <xf numFmtId="164" fontId="18" fillId="0" borderId="93" xfId="2" applyNumberFormat="1" applyFont="1" applyFill="1" applyBorder="1" applyAlignment="1">
      <alignment horizontal="center"/>
    </xf>
    <xf numFmtId="0" fontId="9" fillId="0" borderId="93" xfId="0" applyFont="1" applyFill="1" applyBorder="1"/>
    <xf numFmtId="0" fontId="9" fillId="0" borderId="95" xfId="0" applyFont="1" applyFill="1" applyBorder="1"/>
    <xf numFmtId="0" fontId="9" fillId="0" borderId="77" xfId="0" applyFont="1" applyFill="1" applyBorder="1"/>
    <xf numFmtId="164" fontId="15" fillId="0" borderId="100" xfId="2" applyNumberFormat="1" applyFont="1" applyFill="1" applyBorder="1" applyAlignment="1"/>
    <xf numFmtId="3" fontId="9" fillId="0" borderId="100" xfId="0" applyNumberFormat="1" applyFont="1" applyFill="1" applyBorder="1"/>
    <xf numFmtId="166" fontId="9" fillId="0" borderId="100" xfId="4" applyNumberFormat="1" applyFont="1" applyFill="1" applyBorder="1"/>
    <xf numFmtId="49" fontId="32" fillId="0" borderId="26" xfId="2" quotePrefix="1" applyNumberFormat="1" applyFont="1" applyFill="1" applyBorder="1" applyAlignment="1"/>
    <xf numFmtId="49" fontId="32" fillId="0" borderId="102" xfId="2" applyNumberFormat="1" applyFont="1" applyFill="1" applyBorder="1" applyAlignment="1"/>
    <xf numFmtId="164" fontId="13" fillId="5" borderId="96" xfId="2" applyNumberFormat="1" applyFont="1" applyFill="1" applyBorder="1" applyAlignment="1"/>
    <xf numFmtId="38" fontId="10" fillId="5" borderId="96" xfId="0" applyNumberFormat="1" applyFont="1" applyFill="1" applyBorder="1"/>
    <xf numFmtId="166" fontId="10" fillId="5" borderId="96" xfId="4" applyNumberFormat="1" applyFont="1" applyFill="1" applyBorder="1"/>
    <xf numFmtId="164" fontId="13" fillId="5" borderId="3" xfId="2" applyNumberFormat="1" applyFont="1" applyFill="1" applyBorder="1" applyAlignment="1"/>
    <xf numFmtId="164" fontId="18" fillId="0" borderId="103" xfId="2" applyNumberFormat="1" applyFont="1" applyFill="1" applyBorder="1" applyAlignment="1">
      <alignment horizontal="center"/>
    </xf>
    <xf numFmtId="166" fontId="9" fillId="0" borderId="103" xfId="4" applyNumberFormat="1" applyFont="1" applyFill="1" applyBorder="1"/>
    <xf numFmtId="0" fontId="9" fillId="0" borderId="103" xfId="0" applyFont="1" applyFill="1" applyBorder="1"/>
    <xf numFmtId="164" fontId="15" fillId="0" borderId="95" xfId="2" applyNumberFormat="1" applyFont="1" applyFill="1" applyBorder="1" applyAlignment="1">
      <alignment horizontal="left"/>
    </xf>
    <xf numFmtId="4" fontId="9" fillId="0" borderId="102" xfId="0" applyNumberFormat="1" applyFont="1" applyFill="1" applyBorder="1"/>
    <xf numFmtId="164" fontId="18" fillId="0" borderId="100" xfId="2" applyNumberFormat="1" applyFont="1" applyFill="1" applyBorder="1" applyAlignment="1">
      <alignment horizontal="center"/>
    </xf>
    <xf numFmtId="3" fontId="9" fillId="0" borderId="101" xfId="0" applyNumberFormat="1" applyFont="1" applyFill="1" applyBorder="1"/>
    <xf numFmtId="0" fontId="11" fillId="5" borderId="96" xfId="3" applyNumberFormat="1" applyFont="1" applyFill="1" applyBorder="1" applyAlignment="1"/>
    <xf numFmtId="168" fontId="11" fillId="5" borderId="3" xfId="3" applyNumberFormat="1" applyFont="1" applyFill="1" applyBorder="1" applyAlignment="1"/>
    <xf numFmtId="168" fontId="11" fillId="5" borderId="1" xfId="3" applyNumberFormat="1" applyFont="1" applyFill="1" applyBorder="1" applyAlignment="1"/>
    <xf numFmtId="0" fontId="17" fillId="0" borderId="95" xfId="3" applyNumberFormat="1" applyFont="1" applyFill="1" applyBorder="1" applyAlignment="1">
      <alignment horizontal="center"/>
    </xf>
    <xf numFmtId="166" fontId="9" fillId="0" borderId="95" xfId="4" applyNumberFormat="1" applyFont="1" applyFill="1" applyBorder="1"/>
    <xf numFmtId="38" fontId="9" fillId="0" borderId="100" xfId="0" applyNumberFormat="1" applyFont="1" applyFill="1" applyBorder="1"/>
    <xf numFmtId="3" fontId="9" fillId="0" borderId="78" xfId="0" applyNumberFormat="1" applyFont="1" applyFill="1" applyBorder="1"/>
    <xf numFmtId="49" fontId="6" fillId="0" borderId="26" xfId="0" applyNumberFormat="1" applyFont="1" applyFill="1" applyBorder="1"/>
    <xf numFmtId="3" fontId="6" fillId="0" borderId="26" xfId="0" quotePrefix="1" applyNumberFormat="1" applyFont="1" applyFill="1" applyBorder="1"/>
    <xf numFmtId="0" fontId="11" fillId="5" borderId="97" xfId="3" applyNumberFormat="1" applyFont="1" applyFill="1" applyBorder="1" applyAlignment="1"/>
    <xf numFmtId="38" fontId="10" fillId="5" borderId="97" xfId="0" applyNumberFormat="1" applyFont="1" applyFill="1" applyBorder="1" applyAlignment="1">
      <alignment horizontal="right"/>
    </xf>
    <xf numFmtId="169" fontId="10" fillId="5" borderId="97" xfId="0" applyNumberFormat="1" applyFont="1" applyFill="1" applyBorder="1"/>
    <xf numFmtId="164" fontId="13" fillId="4" borderId="97" xfId="2" applyNumberFormat="1" applyFont="1" applyFill="1" applyBorder="1" applyAlignment="1"/>
    <xf numFmtId="0" fontId="36" fillId="0" borderId="0" xfId="0" applyFont="1" applyFill="1"/>
    <xf numFmtId="0" fontId="35" fillId="0" borderId="0" xfId="0" applyFont="1" applyAlignment="1">
      <alignment horizontal="left"/>
    </xf>
    <xf numFmtId="49" fontId="36" fillId="0" borderId="0" xfId="0" applyNumberFormat="1" applyFont="1"/>
    <xf numFmtId="0" fontId="36" fillId="0" borderId="0" xfId="0" applyFont="1"/>
    <xf numFmtId="0" fontId="33" fillId="0" borderId="104" xfId="0" applyFont="1" applyFill="1" applyBorder="1"/>
    <xf numFmtId="0" fontId="2" fillId="0" borderId="99" xfId="0" applyFont="1" applyFill="1" applyBorder="1"/>
    <xf numFmtId="0" fontId="2" fillId="0" borderId="105" xfId="0" applyFont="1" applyFill="1" applyBorder="1"/>
    <xf numFmtId="0" fontId="2" fillId="0" borderId="106" xfId="0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0" fontId="2" fillId="0" borderId="107" xfId="0" applyFont="1" applyBorder="1"/>
    <xf numFmtId="0" fontId="2" fillId="0" borderId="33" xfId="0" applyFont="1" applyBorder="1"/>
    <xf numFmtId="0" fontId="14" fillId="0" borderId="33" xfId="0" applyFont="1" applyBorder="1"/>
    <xf numFmtId="0" fontId="2" fillId="0" borderId="106" xfId="0" applyFont="1" applyFill="1" applyBorder="1"/>
    <xf numFmtId="0" fontId="14" fillId="0" borderId="10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07" xfId="0" applyFont="1" applyFill="1" applyBorder="1"/>
    <xf numFmtId="4" fontId="2" fillId="0" borderId="106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14" xfId="0" applyFont="1" applyBorder="1"/>
    <xf numFmtId="0" fontId="3" fillId="0" borderId="12" xfId="0" applyFont="1" applyBorder="1"/>
    <xf numFmtId="0" fontId="2" fillId="0" borderId="38" xfId="0" applyFont="1" applyBorder="1"/>
    <xf numFmtId="0" fontId="2" fillId="0" borderId="108" xfId="0" applyFont="1" applyFill="1" applyBorder="1"/>
    <xf numFmtId="0" fontId="2" fillId="0" borderId="109" xfId="0" applyFont="1" applyFill="1" applyBorder="1"/>
    <xf numFmtId="164" fontId="11" fillId="13" borderId="97" xfId="2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49" fontId="32" fillId="0" borderId="92" xfId="2" applyNumberFormat="1" applyFont="1" applyFill="1" applyBorder="1" applyAlignment="1"/>
    <xf numFmtId="0" fontId="9" fillId="0" borderId="93" xfId="0" applyFont="1" applyFill="1" applyBorder="1" applyAlignment="1">
      <alignment horizontal="center"/>
    </xf>
    <xf numFmtId="4" fontId="9" fillId="0" borderId="101" xfId="0" applyNumberFormat="1" applyFont="1" applyFill="1" applyBorder="1"/>
    <xf numFmtId="0" fontId="9" fillId="0" borderId="77" xfId="0" applyFont="1" applyFill="1" applyBorder="1" applyAlignment="1">
      <alignment horizontal="center"/>
    </xf>
    <xf numFmtId="10" fontId="9" fillId="0" borderId="92" xfId="1" applyNumberFormat="1" applyFont="1" applyFill="1" applyBorder="1" applyAlignment="1">
      <alignment horizontal="center"/>
    </xf>
    <xf numFmtId="166" fontId="4" fillId="0" borderId="0" xfId="4" applyNumberFormat="1" applyFont="1"/>
    <xf numFmtId="166" fontId="3" fillId="0" borderId="94" xfId="4" applyNumberFormat="1" applyFont="1" applyBorder="1"/>
    <xf numFmtId="0" fontId="2" fillId="0" borderId="33" xfId="0" applyFont="1" applyFill="1" applyBorder="1"/>
    <xf numFmtId="166" fontId="34" fillId="0" borderId="1" xfId="4" applyNumberFormat="1" applyFont="1" applyBorder="1"/>
    <xf numFmtId="38" fontId="3" fillId="0" borderId="94" xfId="0" applyNumberFormat="1" applyFont="1" applyBorder="1"/>
    <xf numFmtId="38" fontId="34" fillId="0" borderId="5" xfId="0" applyNumberFormat="1" applyFont="1" applyBorder="1"/>
    <xf numFmtId="164" fontId="28" fillId="3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6" fontId="10" fillId="0" borderId="12" xfId="4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9" fontId="2" fillId="0" borderId="0" xfId="0" applyNumberFormat="1" applyFont="1" applyFill="1"/>
    <xf numFmtId="43" fontId="2" fillId="0" borderId="0" xfId="0" applyNumberFormat="1" applyFont="1" applyFill="1"/>
    <xf numFmtId="166" fontId="7" fillId="0" borderId="0" xfId="0" applyNumberFormat="1" applyFont="1" applyAlignment="1">
      <alignment horizontal="left"/>
    </xf>
    <xf numFmtId="9" fontId="5" fillId="0" borderId="0" xfId="0" applyNumberFormat="1" applyFont="1" applyFill="1"/>
    <xf numFmtId="10" fontId="5" fillId="0" borderId="0" xfId="1" applyNumberFormat="1" applyFont="1"/>
    <xf numFmtId="43" fontId="5" fillId="0" borderId="0" xfId="0" applyNumberFormat="1" applyFont="1" applyFill="1"/>
    <xf numFmtId="166" fontId="2" fillId="0" borderId="0" xfId="0" applyNumberFormat="1" applyFont="1" applyFill="1"/>
    <xf numFmtId="0" fontId="10" fillId="0" borderId="12" xfId="0" applyFont="1" applyBorder="1" applyAlignment="1">
      <alignment horizontal="right"/>
    </xf>
    <xf numFmtId="10" fontId="2" fillId="0" borderId="0" xfId="1" applyNumberFormat="1" applyFont="1"/>
    <xf numFmtId="0" fontId="2" fillId="0" borderId="104" xfId="0" applyFont="1" applyFill="1" applyBorder="1"/>
    <xf numFmtId="0" fontId="10" fillId="0" borderId="110" xfId="0" applyFont="1" applyFill="1" applyBorder="1" applyAlignment="1">
      <alignment horizontal="right"/>
    </xf>
    <xf numFmtId="166" fontId="10" fillId="0" borderId="110" xfId="4" applyNumberFormat="1" applyFont="1" applyFill="1" applyBorder="1" applyAlignment="1">
      <alignment horizontal="left"/>
    </xf>
    <xf numFmtId="9" fontId="2" fillId="0" borderId="105" xfId="0" applyNumberFormat="1" applyFont="1" applyFill="1" applyBorder="1"/>
    <xf numFmtId="10" fontId="5" fillId="0" borderId="98" xfId="1" applyNumberFormat="1" applyFont="1" applyBorder="1"/>
    <xf numFmtId="43" fontId="2" fillId="0" borderId="109" xfId="0" applyNumberFormat="1" applyFont="1" applyFill="1" applyBorder="1"/>
    <xf numFmtId="41" fontId="39" fillId="0" borderId="38" xfId="0" applyNumberFormat="1" applyFont="1" applyBorder="1"/>
    <xf numFmtId="0" fontId="0" fillId="0" borderId="0" xfId="0" applyFill="1"/>
    <xf numFmtId="0" fontId="2" fillId="0" borderId="56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9" fontId="2" fillId="0" borderId="14" xfId="1" applyFont="1" applyFill="1" applyBorder="1" applyAlignment="1">
      <alignment horizontal="center"/>
    </xf>
    <xf numFmtId="0" fontId="2" fillId="0" borderId="106" xfId="0" applyFont="1" applyBorder="1" applyAlignment="1">
      <alignment horizontal="left"/>
    </xf>
    <xf numFmtId="167" fontId="2" fillId="0" borderId="107" xfId="0" applyNumberFormat="1" applyFont="1" applyBorder="1" applyAlignment="1">
      <alignment horizontal="right"/>
    </xf>
    <xf numFmtId="0" fontId="2" fillId="0" borderId="98" xfId="0" applyFont="1" applyFill="1" applyBorder="1"/>
    <xf numFmtId="0" fontId="2" fillId="0" borderId="0" xfId="0" applyFont="1" applyBorder="1"/>
    <xf numFmtId="4" fontId="2" fillId="0" borderId="108" xfId="0" applyNumberFormat="1" applyFont="1" applyBorder="1" applyAlignment="1">
      <alignment horizontal="right"/>
    </xf>
    <xf numFmtId="4" fontId="2" fillId="0" borderId="98" xfId="0" applyNumberFormat="1" applyFont="1" applyBorder="1" applyAlignment="1">
      <alignment horizontal="right"/>
    </xf>
    <xf numFmtId="0" fontId="2" fillId="0" borderId="109" xfId="0" applyFont="1" applyBorder="1"/>
    <xf numFmtId="0" fontId="38" fillId="0" borderId="0" xfId="0" applyFont="1" applyFill="1" applyBorder="1" applyAlignment="1">
      <alignment horizontal="left" wrapText="1"/>
    </xf>
    <xf numFmtId="164" fontId="15" fillId="0" borderId="96" xfId="2" applyNumberFormat="1" applyFont="1" applyFill="1" applyBorder="1" applyAlignment="1"/>
    <xf numFmtId="166" fontId="9" fillId="0" borderId="96" xfId="4" applyNumberFormat="1" applyFont="1" applyFill="1" applyBorder="1"/>
    <xf numFmtId="3" fontId="9" fillId="0" borderId="96" xfId="0" applyNumberFormat="1" applyFont="1" applyFill="1" applyBorder="1"/>
    <xf numFmtId="10" fontId="9" fillId="0" borderId="96" xfId="1" applyNumberFormat="1" applyFont="1" applyFill="1" applyBorder="1" applyAlignment="1">
      <alignment horizontal="center"/>
    </xf>
    <xf numFmtId="166" fontId="8" fillId="0" borderId="99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0" fontId="9" fillId="0" borderId="78" xfId="1" applyNumberFormat="1" applyFont="1" applyFill="1" applyBorder="1" applyAlignment="1">
      <alignment horizontal="center"/>
    </xf>
    <xf numFmtId="164" fontId="11" fillId="14" borderId="93" xfId="2" applyNumberFormat="1" applyFont="1" applyFill="1" applyBorder="1" applyAlignment="1">
      <alignment horizontal="center" vertical="center"/>
    </xf>
    <xf numFmtId="164" fontId="11" fillId="14" borderId="97" xfId="2" applyNumberFormat="1" applyFont="1" applyFill="1" applyBorder="1" applyAlignment="1">
      <alignment horizontal="center" vertical="center"/>
    </xf>
    <xf numFmtId="164" fontId="11" fillId="14" borderId="97" xfId="2" applyNumberFormat="1" applyFont="1" applyFill="1" applyBorder="1" applyAlignment="1">
      <alignment horizontal="center" vertical="center" wrapText="1"/>
    </xf>
    <xf numFmtId="166" fontId="4" fillId="15" borderId="98" xfId="4" applyNumberFormat="1" applyFont="1" applyFill="1" applyBorder="1"/>
    <xf numFmtId="0" fontId="4" fillId="15" borderId="108" xfId="0" applyFont="1" applyFill="1" applyBorder="1"/>
    <xf numFmtId="0" fontId="4" fillId="15" borderId="98" xfId="0" applyFont="1" applyFill="1" applyBorder="1" applyAlignment="1">
      <alignment horizontal="right"/>
    </xf>
    <xf numFmtId="10" fontId="5" fillId="15" borderId="98" xfId="1" applyNumberFormat="1" applyFont="1" applyFill="1" applyBorder="1"/>
    <xf numFmtId="0" fontId="11" fillId="11" borderId="80" xfId="2" applyFont="1" applyFill="1" applyBorder="1" applyAlignment="1">
      <alignment horizontal="center" vertical="center"/>
    </xf>
    <xf numFmtId="0" fontId="11" fillId="11" borderId="81" xfId="2" applyFont="1" applyFill="1" applyBorder="1" applyAlignment="1">
      <alignment horizontal="center" vertical="center"/>
    </xf>
    <xf numFmtId="0" fontId="11" fillId="11" borderId="62" xfId="2" applyFont="1" applyFill="1" applyBorder="1" applyAlignment="1">
      <alignment horizontal="center" vertical="center"/>
    </xf>
    <xf numFmtId="0" fontId="11" fillId="11" borderId="12" xfId="2" applyFont="1" applyFill="1" applyBorder="1" applyAlignment="1">
      <alignment horizontal="center" vertical="center"/>
    </xf>
    <xf numFmtId="164" fontId="11" fillId="4" borderId="85" xfId="2" applyNumberFormat="1" applyFont="1" applyFill="1" applyBorder="1" applyAlignment="1">
      <alignment horizontal="center" vertical="center"/>
    </xf>
    <xf numFmtId="164" fontId="11" fillId="4" borderId="81" xfId="2" applyNumberFormat="1" applyFont="1" applyFill="1" applyBorder="1" applyAlignment="1">
      <alignment horizontal="center" vertical="center"/>
    </xf>
    <xf numFmtId="164" fontId="11" fillId="4" borderId="11" xfId="2" applyNumberFormat="1" applyFont="1" applyFill="1" applyBorder="1" applyAlignment="1">
      <alignment horizontal="center" vertical="center"/>
    </xf>
    <xf numFmtId="164" fontId="11" fillId="4" borderId="12" xfId="2" applyNumberFormat="1" applyFont="1" applyFill="1" applyBorder="1" applyAlignment="1">
      <alignment horizontal="center" vertical="center"/>
    </xf>
    <xf numFmtId="164" fontId="11" fillId="4" borderId="10" xfId="2" applyNumberFormat="1" applyFont="1" applyFill="1" applyBorder="1" applyAlignment="1">
      <alignment horizontal="center" vertical="center"/>
    </xf>
    <xf numFmtId="164" fontId="11" fillId="11" borderId="79" xfId="2" applyNumberFormat="1" applyFont="1" applyFill="1" applyBorder="1" applyAlignment="1">
      <alignment horizontal="center" vertical="center"/>
    </xf>
    <xf numFmtId="164" fontId="11" fillId="11" borderId="4" xfId="2" applyNumberFormat="1" applyFont="1" applyFill="1" applyBorder="1" applyAlignment="1">
      <alignment horizontal="center" vertical="center"/>
    </xf>
    <xf numFmtId="164" fontId="8" fillId="11" borderId="79" xfId="2" applyNumberFormat="1" applyFont="1" applyFill="1" applyBorder="1" applyAlignment="1">
      <alignment horizontal="center" vertical="center"/>
    </xf>
    <xf numFmtId="164" fontId="8" fillId="11" borderId="63" xfId="2" applyNumberFormat="1" applyFont="1" applyFill="1" applyBorder="1" applyAlignment="1">
      <alignment horizontal="center" vertical="center"/>
    </xf>
    <xf numFmtId="164" fontId="11" fillId="4" borderId="58" xfId="2" applyNumberFormat="1" applyFont="1" applyFill="1" applyBorder="1" applyAlignment="1">
      <alignment horizontal="center" vertical="center"/>
    </xf>
    <xf numFmtId="164" fontId="11" fillId="4" borderId="77" xfId="2" applyNumberFormat="1" applyFont="1" applyFill="1" applyBorder="1" applyAlignment="1">
      <alignment horizontal="center" vertical="center" wrapText="1"/>
    </xf>
    <xf numFmtId="164" fontId="11" fillId="4" borderId="38" xfId="2" applyNumberFormat="1" applyFont="1" applyFill="1" applyBorder="1" applyAlignment="1">
      <alignment horizontal="center" vertical="center" wrapText="1"/>
    </xf>
    <xf numFmtId="164" fontId="11" fillId="4" borderId="56" xfId="2" applyNumberFormat="1" applyFont="1" applyFill="1" applyBorder="1" applyAlignment="1">
      <alignment horizontal="center" vertical="center"/>
    </xf>
    <xf numFmtId="164" fontId="11" fillId="4" borderId="14" xfId="2" applyNumberFormat="1" applyFont="1" applyFill="1" applyBorder="1" applyAlignment="1">
      <alignment horizontal="center" vertical="center"/>
    </xf>
    <xf numFmtId="0" fontId="11" fillId="4" borderId="54" xfId="2" applyFont="1" applyFill="1" applyBorder="1" applyAlignment="1">
      <alignment horizontal="center" vertical="center" wrapText="1"/>
    </xf>
    <xf numFmtId="0" fontId="11" fillId="4" borderId="53" xfId="2" applyFont="1" applyFill="1" applyBorder="1" applyAlignment="1">
      <alignment horizontal="center" vertical="center"/>
    </xf>
    <xf numFmtId="0" fontId="11" fillId="4" borderId="12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164" fontId="23" fillId="3" borderId="0" xfId="2" applyNumberFormat="1" applyFont="1" applyFill="1" applyBorder="1" applyAlignment="1">
      <alignment horizontal="center" vertical="center"/>
    </xf>
    <xf numFmtId="164" fontId="19" fillId="4" borderId="60" xfId="2" applyNumberFormat="1" applyFont="1" applyFill="1" applyBorder="1" applyAlignment="1">
      <alignment horizontal="center" vertical="center"/>
    </xf>
    <xf numFmtId="164" fontId="19" fillId="4" borderId="62" xfId="2" applyNumberFormat="1" applyFont="1" applyFill="1" applyBorder="1" applyAlignment="1">
      <alignment horizontal="center" vertical="center"/>
    </xf>
    <xf numFmtId="164" fontId="19" fillId="4" borderId="61" xfId="2" applyNumberFormat="1" applyFont="1" applyFill="1" applyBorder="1" applyAlignment="1">
      <alignment horizontal="center" vertical="center"/>
    </xf>
    <xf numFmtId="164" fontId="19" fillId="11" borderId="60" xfId="2" applyNumberFormat="1" applyFont="1" applyFill="1" applyBorder="1" applyAlignment="1">
      <alignment horizontal="center" vertical="center"/>
    </xf>
    <xf numFmtId="164" fontId="19" fillId="11" borderId="61" xfId="2" applyNumberFormat="1" applyFont="1" applyFill="1" applyBorder="1" applyAlignment="1">
      <alignment horizontal="center" vertical="center"/>
    </xf>
    <xf numFmtId="164" fontId="19" fillId="11" borderId="62" xfId="2" applyNumberFormat="1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wrapText="1"/>
    </xf>
    <xf numFmtId="164" fontId="11" fillId="4" borderId="77" xfId="2" applyNumberFormat="1" applyFont="1" applyFill="1" applyBorder="1" applyAlignment="1">
      <alignment horizontal="center" vertical="center"/>
    </xf>
    <xf numFmtId="164" fontId="11" fillId="4" borderId="93" xfId="2" applyNumberFormat="1" applyFont="1" applyFill="1" applyBorder="1" applyAlignment="1">
      <alignment horizontal="center" vertical="center"/>
    </xf>
    <xf numFmtId="164" fontId="11" fillId="4" borderId="95" xfId="2" applyNumberFormat="1" applyFont="1" applyFill="1" applyBorder="1" applyAlignment="1">
      <alignment horizontal="center" vertical="center"/>
    </xf>
    <xf numFmtId="164" fontId="11" fillId="4" borderId="93" xfId="2" applyNumberFormat="1" applyFont="1" applyFill="1" applyBorder="1" applyAlignment="1">
      <alignment horizontal="center" vertical="center" wrapText="1"/>
    </xf>
    <xf numFmtId="164" fontId="11" fillId="4" borderId="95" xfId="2" applyNumberFormat="1" applyFont="1" applyFill="1" applyBorder="1" applyAlignment="1">
      <alignment horizontal="center" vertical="center" wrapText="1"/>
    </xf>
    <xf numFmtId="164" fontId="19" fillId="13" borderId="3" xfId="2" applyNumberFormat="1" applyFont="1" applyFill="1" applyBorder="1" applyAlignment="1">
      <alignment horizontal="center" vertical="center"/>
    </xf>
    <xf numFmtId="164" fontId="19" fillId="13" borderId="2" xfId="2" applyNumberFormat="1" applyFont="1" applyFill="1" applyBorder="1" applyAlignment="1">
      <alignment horizontal="center" vertical="center"/>
    </xf>
    <xf numFmtId="164" fontId="19" fillId="13" borderId="1" xfId="2" applyNumberFormat="1" applyFont="1" applyFill="1" applyBorder="1" applyAlignment="1">
      <alignment horizontal="center" vertical="center"/>
    </xf>
    <xf numFmtId="164" fontId="11" fillId="13" borderId="12" xfId="2" applyNumberFormat="1" applyFont="1" applyFill="1" applyBorder="1" applyAlignment="1">
      <alignment horizontal="center" vertical="center"/>
    </xf>
    <xf numFmtId="164" fontId="11" fillId="13" borderId="10" xfId="2" applyNumberFormat="1" applyFont="1" applyFill="1" applyBorder="1" applyAlignment="1">
      <alignment horizontal="center" vertical="center"/>
    </xf>
    <xf numFmtId="164" fontId="11" fillId="13" borderId="93" xfId="2" applyNumberFormat="1" applyFont="1" applyFill="1" applyBorder="1" applyAlignment="1">
      <alignment horizontal="center" vertical="center"/>
    </xf>
    <xf numFmtId="164" fontId="11" fillId="13" borderId="97" xfId="2" applyNumberFormat="1" applyFont="1" applyFill="1" applyBorder="1" applyAlignment="1">
      <alignment horizontal="center" vertical="center"/>
    </xf>
    <xf numFmtId="164" fontId="29" fillId="4" borderId="3" xfId="2" applyNumberFormat="1" applyFont="1" applyFill="1" applyBorder="1" applyAlignment="1">
      <alignment horizontal="center" vertical="center" wrapText="1"/>
    </xf>
    <xf numFmtId="164" fontId="29" fillId="4" borderId="1" xfId="2" applyNumberFormat="1" applyFont="1" applyFill="1" applyBorder="1" applyAlignment="1">
      <alignment horizontal="center" vertical="center" wrapText="1"/>
    </xf>
    <xf numFmtId="164" fontId="11" fillId="4" borderId="3" xfId="2" applyNumberFormat="1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left" wrapText="1"/>
    </xf>
    <xf numFmtId="0" fontId="14" fillId="0" borderId="54" xfId="0" applyFont="1" applyBorder="1" applyAlignment="1">
      <alignment horizontal="left" wrapText="1"/>
    </xf>
    <xf numFmtId="0" fontId="14" fillId="0" borderId="77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164" fontId="11" fillId="14" borderId="12" xfId="2" applyNumberFormat="1" applyFont="1" applyFill="1" applyBorder="1" applyAlignment="1">
      <alignment horizontal="center" vertical="center"/>
    </xf>
    <xf numFmtId="164" fontId="11" fillId="14" borderId="10" xfId="2" applyNumberFormat="1" applyFont="1" applyFill="1" applyBorder="1" applyAlignment="1">
      <alignment horizontal="center" vertical="center"/>
    </xf>
    <xf numFmtId="164" fontId="19" fillId="14" borderId="3" xfId="2" applyNumberFormat="1" applyFont="1" applyFill="1" applyBorder="1" applyAlignment="1">
      <alignment horizontal="center" vertical="center"/>
    </xf>
    <xf numFmtId="164" fontId="19" fillId="14" borderId="2" xfId="2" applyNumberFormat="1" applyFont="1" applyFill="1" applyBorder="1" applyAlignment="1">
      <alignment horizontal="center" vertical="center"/>
    </xf>
    <xf numFmtId="164" fontId="19" fillId="14" borderId="1" xfId="2" applyNumberFormat="1" applyFont="1" applyFill="1" applyBorder="1" applyAlignment="1">
      <alignment horizontal="center" vertical="center"/>
    </xf>
    <xf numFmtId="164" fontId="11" fillId="14" borderId="93" xfId="2" applyNumberFormat="1" applyFont="1" applyFill="1" applyBorder="1" applyAlignment="1">
      <alignment horizontal="center" vertical="center"/>
    </xf>
    <xf numFmtId="164" fontId="11" fillId="14" borderId="97" xfId="2" applyNumberFormat="1" applyFont="1" applyFill="1" applyBorder="1" applyAlignment="1">
      <alignment horizontal="center" vertical="center"/>
    </xf>
    <xf numFmtId="49" fontId="11" fillId="4" borderId="60" xfId="2" applyNumberFormat="1" applyFont="1" applyFill="1" applyBorder="1" applyAlignment="1">
      <alignment horizontal="center" vertical="center" wrapText="1"/>
    </xf>
    <xf numFmtId="49" fontId="11" fillId="4" borderId="61" xfId="2" applyNumberFormat="1" applyFont="1" applyFill="1" applyBorder="1" applyAlignment="1">
      <alignment horizontal="center" vertical="center" wrapText="1"/>
    </xf>
    <xf numFmtId="49" fontId="11" fillId="4" borderId="57" xfId="2" applyNumberFormat="1" applyFont="1" applyFill="1" applyBorder="1" applyAlignment="1">
      <alignment horizontal="center" vertical="center" wrapText="1"/>
    </xf>
    <xf numFmtId="49" fontId="11" fillId="4" borderId="31" xfId="2" applyNumberFormat="1" applyFont="1" applyFill="1" applyBorder="1" applyAlignment="1">
      <alignment horizontal="center" vertical="center" wrapText="1"/>
    </xf>
    <xf numFmtId="164" fontId="11" fillId="4" borderId="53" xfId="2" applyNumberFormat="1" applyFont="1" applyFill="1" applyBorder="1" applyAlignment="1">
      <alignment horizontal="center" vertical="center"/>
    </xf>
    <xf numFmtId="0" fontId="40" fillId="0" borderId="0" xfId="0" applyFont="1"/>
    <xf numFmtId="10" fontId="11" fillId="5" borderId="96" xfId="1" applyNumberFormat="1" applyFont="1" applyFill="1" applyBorder="1" applyAlignment="1">
      <alignment horizontal="center"/>
    </xf>
    <xf numFmtId="166" fontId="9" fillId="0" borderId="96" xfId="4" applyNumberFormat="1" applyFont="1" applyFill="1" applyBorder="1" applyAlignment="1">
      <alignment vertical="center"/>
    </xf>
    <xf numFmtId="0" fontId="6" fillId="0" borderId="31" xfId="2" applyFont="1" applyFill="1" applyBorder="1"/>
    <xf numFmtId="0" fontId="6" fillId="0" borderId="45" xfId="3" applyNumberFormat="1" applyFont="1" applyFill="1" applyBorder="1" applyAlignment="1"/>
    <xf numFmtId="166" fontId="9" fillId="0" borderId="96" xfId="4" applyNumberFormat="1" applyFont="1" applyFill="1" applyBorder="1" applyAlignment="1">
      <alignment horizontal="center"/>
    </xf>
    <xf numFmtId="164" fontId="9" fillId="0" borderId="96" xfId="2" applyNumberFormat="1" applyFont="1" applyFill="1" applyBorder="1" applyAlignment="1"/>
    <xf numFmtId="164" fontId="15" fillId="16" borderId="96" xfId="2" applyNumberFormat="1" applyFont="1" applyFill="1" applyBorder="1" applyAlignment="1"/>
    <xf numFmtId="166" fontId="9" fillId="16" borderId="96" xfId="4" applyNumberFormat="1" applyFont="1" applyFill="1" applyBorder="1"/>
    <xf numFmtId="3" fontId="9" fillId="16" borderId="96" xfId="0" applyNumberFormat="1" applyFont="1" applyFill="1" applyBorder="1"/>
    <xf numFmtId="10" fontId="9" fillId="16" borderId="96" xfId="1" applyNumberFormat="1" applyFont="1" applyFill="1" applyBorder="1" applyAlignment="1">
      <alignment horizontal="center"/>
    </xf>
    <xf numFmtId="166" fontId="9" fillId="16" borderId="96" xfId="4" applyNumberFormat="1" applyFont="1" applyFill="1" applyBorder="1" applyAlignment="1">
      <alignment vertical="center"/>
    </xf>
    <xf numFmtId="164" fontId="32" fillId="16" borderId="26" xfId="2" quotePrefix="1" applyNumberFormat="1" applyFont="1" applyFill="1" applyBorder="1" applyAlignment="1"/>
    <xf numFmtId="3" fontId="6" fillId="16" borderId="27" xfId="0" applyNumberFormat="1" applyFont="1" applyFill="1" applyBorder="1"/>
    <xf numFmtId="0" fontId="6" fillId="16" borderId="50" xfId="3" applyNumberFormat="1" applyFont="1" applyFill="1" applyBorder="1" applyAlignment="1"/>
    <xf numFmtId="0" fontId="5" fillId="16" borderId="49" xfId="0" applyFont="1" applyFill="1" applyBorder="1"/>
    <xf numFmtId="0" fontId="6" fillId="16" borderId="24" xfId="2" applyFont="1" applyFill="1" applyBorder="1"/>
    <xf numFmtId="164" fontId="15" fillId="16" borderId="96" xfId="2" applyNumberFormat="1" applyFont="1" applyFill="1" applyBorder="1" applyAlignment="1">
      <alignment wrapText="1"/>
    </xf>
    <xf numFmtId="164" fontId="15" fillId="0" borderId="100" xfId="2" applyNumberFormat="1" applyFont="1" applyFill="1" applyBorder="1" applyAlignment="1">
      <alignment horizontal="left"/>
    </xf>
    <xf numFmtId="3" fontId="9" fillId="0" borderId="102" xfId="0" applyNumberFormat="1" applyFont="1" applyFill="1" applyBorder="1"/>
    <xf numFmtId="166" fontId="9" fillId="0" borderId="111" xfId="4" applyNumberFormat="1" applyFont="1" applyFill="1" applyBorder="1"/>
    <xf numFmtId="3" fontId="9" fillId="16" borderId="96" xfId="0" applyNumberFormat="1" applyFont="1" applyFill="1" applyBorder="1" applyAlignment="1">
      <alignment horizontal="center"/>
    </xf>
    <xf numFmtId="10" fontId="11" fillId="4" borderId="96" xfId="1" applyNumberFormat="1" applyFont="1" applyFill="1" applyBorder="1" applyAlignment="1">
      <alignment horizontal="center"/>
    </xf>
    <xf numFmtId="0" fontId="9" fillId="0" borderId="100" xfId="3" applyNumberFormat="1" applyFont="1" applyFill="1" applyBorder="1" applyAlignment="1"/>
    <xf numFmtId="0" fontId="6" fillId="0" borderId="41" xfId="3" applyNumberFormat="1" applyFont="1" applyFill="1" applyBorder="1" applyAlignment="1"/>
    <xf numFmtId="166" fontId="9" fillId="16" borderId="96" xfId="4" applyNumberFormat="1" applyFont="1" applyFill="1" applyBorder="1" applyAlignment="1"/>
    <xf numFmtId="3" fontId="9" fillId="0" borderId="95" xfId="0" applyNumberFormat="1" applyFont="1" applyFill="1" applyBorder="1"/>
  </cellXfs>
  <cellStyles count="6">
    <cellStyle name="Comma" xfId="4" builtinId="3"/>
    <cellStyle name="Normal" xfId="0" builtinId="0"/>
    <cellStyle name="Normal 3" xfId="5" xr:uid="{00000000-0005-0000-0000-000003000000}"/>
    <cellStyle name="Normal 5 2" xfId="3" xr:uid="{00000000-0005-0000-0000-000004000000}"/>
    <cellStyle name="Normal 7" xfId="2" xr:uid="{00000000-0005-0000-0000-000005000000}"/>
    <cellStyle name="Percent" xfId="1" builtinId="5"/>
  </cellStyles>
  <dxfs count="0"/>
  <tableStyles count="0" defaultTableStyle="TableStyleMedium2" defaultPivotStyle="PivotStyleLight16"/>
  <colors>
    <mruColors>
      <color rgb="FFFFFF99"/>
      <color rgb="FFFFFBF7"/>
      <color rgb="FFFFF7FC"/>
      <color rgb="FFFFE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5042220" cy="1018703"/>
    <xdr:pic>
      <xdr:nvPicPr>
        <xdr:cNvPr id="2" name="Picture 1">
          <a:extLst>
            <a:ext uri="{FF2B5EF4-FFF2-40B4-BE49-F238E27FC236}">
              <a16:creationId xmlns:a16="http://schemas.microsoft.com/office/drawing/2014/main" id="{933BA2F9-5501-45E8-9E34-6E3A156EB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5042220" cy="101870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214313</xdr:colOff>
      <xdr:row>1</xdr:row>
      <xdr:rowOff>47625</xdr:rowOff>
    </xdr:from>
    <xdr:ext cx="5657446" cy="1143000"/>
    <xdr:pic>
      <xdr:nvPicPr>
        <xdr:cNvPr id="2" name="Picture 1">
          <a:extLst>
            <a:ext uri="{FF2B5EF4-FFF2-40B4-BE49-F238E27FC236}">
              <a16:creationId xmlns:a16="http://schemas.microsoft.com/office/drawing/2014/main" id="{616A9CB2-1896-49E1-9BC6-4F4A838C2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3" y="228600"/>
          <a:ext cx="5657446" cy="1143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5042220" cy="101870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4520" y="0"/>
          <a:ext cx="5042220" cy="10187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ina/Undesignated/FY17/FY17-Undesignated%20Actual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"/>
      <sheetName val="UndesigSummary"/>
      <sheetName val="UndesigDetail"/>
      <sheetName val="DetailSep"/>
      <sheetName val="HEDReserve"/>
      <sheetName val="Tuition"/>
      <sheetName val="TransferDetail"/>
      <sheetName val="Fringe"/>
      <sheetName val="AdmOH"/>
      <sheetName val="Fees"/>
    </sheetNames>
    <sheetDataSet>
      <sheetData sheetId="0"/>
      <sheetData sheetId="1">
        <row r="5">
          <cell r="A5" t="str">
            <v>as of June 30,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7"/>
  <sheetViews>
    <sheetView topLeftCell="C1" zoomScale="50" zoomScaleNormal="50" workbookViewId="0">
      <selection activeCell="W15" sqref="W15"/>
    </sheetView>
  </sheetViews>
  <sheetFormatPr defaultColWidth="9.140625" defaultRowHeight="21.75" x14ac:dyDescent="0.3"/>
  <cols>
    <col min="1" max="1" width="20.7109375" style="5" hidden="1" customWidth="1"/>
    <col min="2" max="2" width="22.28515625" style="1" hidden="1" customWidth="1"/>
    <col min="3" max="3" width="3.7109375" style="2" customWidth="1"/>
    <col min="4" max="4" width="80.42578125" style="1" bestFit="1" customWidth="1"/>
    <col min="5" max="5" width="25.7109375" style="4" customWidth="1"/>
    <col min="6" max="6" width="1.7109375" style="2" customWidth="1"/>
    <col min="7" max="7" width="25.7109375" style="1" customWidth="1"/>
    <col min="8" max="8" width="27.85546875" style="1" customWidth="1"/>
    <col min="9" max="9" width="25.7109375" style="4" customWidth="1"/>
    <col min="10" max="10" width="1.7109375" style="2" hidden="1" customWidth="1"/>
    <col min="11" max="11" width="28.5703125" style="3" customWidth="1"/>
    <col min="12" max="12" width="25.7109375" style="1" customWidth="1"/>
    <col min="13" max="13" width="2.85546875" style="2" hidden="1" customWidth="1"/>
    <col min="14" max="17" width="27.42578125" style="2" hidden="1" customWidth="1"/>
    <col min="18" max="18" width="25.7109375" style="2" customWidth="1"/>
    <col min="19" max="19" width="25.7109375" style="3" customWidth="1"/>
    <col min="20" max="16384" width="9.140625" style="1"/>
  </cols>
  <sheetData>
    <row r="1" spans="1:19" ht="14.25" customHeight="1" x14ac:dyDescent="0.3">
      <c r="D1" s="9"/>
      <c r="E1" s="106"/>
      <c r="F1" s="9"/>
      <c r="G1" s="9"/>
      <c r="H1" s="9"/>
      <c r="I1" s="106"/>
      <c r="J1" s="9"/>
      <c r="K1" s="103"/>
      <c r="L1" s="9"/>
      <c r="M1" s="9"/>
      <c r="N1" s="9"/>
      <c r="O1" s="9"/>
      <c r="P1" s="9"/>
      <c r="Q1" s="9"/>
      <c r="R1" s="9"/>
      <c r="S1" s="103"/>
    </row>
    <row r="2" spans="1:19" x14ac:dyDescent="0.3">
      <c r="D2" s="9"/>
      <c r="E2" s="106"/>
      <c r="F2" s="9"/>
      <c r="G2" s="9"/>
      <c r="H2" s="9"/>
      <c r="I2" s="106"/>
      <c r="J2" s="9"/>
      <c r="K2" s="103"/>
      <c r="L2" s="9"/>
      <c r="M2" s="9"/>
      <c r="N2" s="9"/>
      <c r="O2" s="9"/>
      <c r="P2" s="9"/>
      <c r="Q2" s="9"/>
      <c r="R2" s="9"/>
      <c r="S2" s="103"/>
    </row>
    <row r="3" spans="1:19" ht="48.6" customHeight="1" x14ac:dyDescent="0.6">
      <c r="D3" s="9"/>
      <c r="E3" s="106"/>
      <c r="F3" s="9"/>
      <c r="G3" s="107"/>
      <c r="H3" s="107"/>
      <c r="I3" s="106"/>
      <c r="J3" s="105"/>
      <c r="K3" s="103"/>
      <c r="L3" s="104"/>
      <c r="M3" s="9"/>
      <c r="N3" s="9"/>
      <c r="O3" s="9"/>
      <c r="P3" s="9"/>
      <c r="Q3" s="9"/>
      <c r="R3" s="9"/>
      <c r="S3" s="103"/>
    </row>
    <row r="4" spans="1:19" ht="12" customHeight="1" x14ac:dyDescent="0.6">
      <c r="D4" s="9"/>
      <c r="E4" s="106"/>
      <c r="F4" s="9"/>
      <c r="G4" s="107"/>
      <c r="H4" s="107"/>
      <c r="I4" s="106"/>
      <c r="J4" s="105"/>
      <c r="K4" s="103"/>
      <c r="L4" s="104"/>
      <c r="M4" s="9"/>
      <c r="N4" s="9"/>
      <c r="O4" s="9"/>
      <c r="P4" s="9"/>
      <c r="Q4" s="9"/>
      <c r="R4" s="9"/>
      <c r="S4" s="103"/>
    </row>
    <row r="5" spans="1:19" ht="26.1" customHeight="1" x14ac:dyDescent="0.3">
      <c r="B5" s="102"/>
      <c r="C5" s="101"/>
      <c r="D5" s="435" t="s">
        <v>182</v>
      </c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</row>
    <row r="6" spans="1:19" ht="26.1" customHeight="1" x14ac:dyDescent="0.3">
      <c r="B6" s="239"/>
      <c r="C6" s="99"/>
      <c r="D6" s="435" t="s">
        <v>181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</row>
    <row r="7" spans="1:19" ht="30" x14ac:dyDescent="0.3">
      <c r="C7" s="102"/>
      <c r="D7" s="435" t="s">
        <v>206</v>
      </c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</row>
    <row r="8" spans="1:19" ht="27" customHeight="1" thickBot="1" x14ac:dyDescent="0.35">
      <c r="B8" s="93"/>
      <c r="C8" s="98"/>
      <c r="D8" s="207"/>
      <c r="E8" s="207"/>
      <c r="F8" s="207"/>
      <c r="G8" s="206"/>
      <c r="H8" s="210"/>
      <c r="I8" s="207"/>
      <c r="J8" s="207"/>
      <c r="K8" s="207"/>
      <c r="L8" s="207"/>
      <c r="M8" s="207"/>
      <c r="N8" s="207"/>
      <c r="O8" s="207"/>
      <c r="P8" s="207"/>
      <c r="Q8" s="207"/>
      <c r="R8" s="208"/>
      <c r="S8" s="209"/>
    </row>
    <row r="9" spans="1:19" s="85" customFormat="1" ht="49.9" customHeight="1" thickTop="1" x14ac:dyDescent="0.25">
      <c r="A9" s="88"/>
      <c r="C9" s="87"/>
      <c r="D9" s="92"/>
      <c r="E9" s="436" t="s">
        <v>179</v>
      </c>
      <c r="F9" s="437"/>
      <c r="G9" s="437"/>
      <c r="H9" s="437"/>
      <c r="I9" s="437"/>
      <c r="J9" s="438"/>
      <c r="K9" s="436" t="s">
        <v>205</v>
      </c>
      <c r="L9" s="437"/>
      <c r="M9" s="240"/>
      <c r="N9" s="439" t="s">
        <v>205</v>
      </c>
      <c r="O9" s="440"/>
      <c r="P9" s="439" t="s">
        <v>205</v>
      </c>
      <c r="Q9" s="441"/>
      <c r="R9" s="436" t="s">
        <v>205</v>
      </c>
      <c r="S9" s="438"/>
    </row>
    <row r="10" spans="1:19" s="85" customFormat="1" ht="30" customHeight="1" thickBot="1" x14ac:dyDescent="0.3">
      <c r="A10" s="88"/>
      <c r="C10" s="87"/>
      <c r="D10" s="90" t="s">
        <v>178</v>
      </c>
      <c r="E10" s="419" t="s">
        <v>169</v>
      </c>
      <c r="F10" s="420"/>
      <c r="G10" s="420"/>
      <c r="H10" s="420"/>
      <c r="I10" s="420"/>
      <c r="J10" s="108"/>
      <c r="K10" s="419" t="s">
        <v>184</v>
      </c>
      <c r="L10" s="420"/>
      <c r="M10" s="421"/>
      <c r="N10" s="422" t="s">
        <v>208</v>
      </c>
      <c r="O10" s="423"/>
      <c r="P10" s="424" t="s">
        <v>209</v>
      </c>
      <c r="Q10" s="425"/>
      <c r="R10" s="419" t="s">
        <v>183</v>
      </c>
      <c r="S10" s="421"/>
    </row>
    <row r="11" spans="1:19" s="85" customFormat="1" ht="31.15" customHeight="1" thickTop="1" x14ac:dyDescent="0.25">
      <c r="A11" s="88"/>
      <c r="C11" s="87"/>
      <c r="D11" s="89"/>
      <c r="E11" s="426" t="s">
        <v>177</v>
      </c>
      <c r="F11" s="241"/>
      <c r="G11" s="112" t="s">
        <v>175</v>
      </c>
      <c r="H11" s="427" t="s">
        <v>207</v>
      </c>
      <c r="I11" s="429" t="s">
        <v>176</v>
      </c>
      <c r="J11" s="111"/>
      <c r="K11" s="112" t="s">
        <v>175</v>
      </c>
      <c r="L11" s="431" t="s">
        <v>169</v>
      </c>
      <c r="M11" s="432"/>
      <c r="N11" s="217" t="s">
        <v>175</v>
      </c>
      <c r="O11" s="413" t="s">
        <v>169</v>
      </c>
      <c r="P11" s="219" t="s">
        <v>175</v>
      </c>
      <c r="Q11" s="415" t="s">
        <v>169</v>
      </c>
      <c r="R11" s="244" t="s">
        <v>175</v>
      </c>
      <c r="S11" s="417" t="s">
        <v>169</v>
      </c>
    </row>
    <row r="12" spans="1:19" s="85" customFormat="1" ht="31.15" customHeight="1" x14ac:dyDescent="0.25">
      <c r="A12" s="88" t="s">
        <v>171</v>
      </c>
      <c r="B12" s="85" t="s">
        <v>170</v>
      </c>
      <c r="C12" s="87"/>
      <c r="D12" s="86"/>
      <c r="E12" s="419"/>
      <c r="F12" s="242"/>
      <c r="G12" s="116" t="s">
        <v>168</v>
      </c>
      <c r="H12" s="428"/>
      <c r="I12" s="430"/>
      <c r="J12" s="115"/>
      <c r="K12" s="116" t="s">
        <v>168</v>
      </c>
      <c r="L12" s="433"/>
      <c r="M12" s="434"/>
      <c r="N12" s="218" t="s">
        <v>168</v>
      </c>
      <c r="O12" s="414"/>
      <c r="P12" s="220" t="s">
        <v>168</v>
      </c>
      <c r="Q12" s="416"/>
      <c r="R12" s="243" t="s">
        <v>168</v>
      </c>
      <c r="S12" s="418"/>
    </row>
    <row r="13" spans="1:19" s="2" customFormat="1" ht="24.75" customHeight="1" x14ac:dyDescent="0.4">
      <c r="A13" s="36"/>
      <c r="C13" s="7"/>
      <c r="D13" s="84" t="s">
        <v>167</v>
      </c>
      <c r="E13" s="82"/>
      <c r="F13" s="81"/>
      <c r="G13" s="80"/>
      <c r="H13" s="83"/>
      <c r="I13" s="82"/>
      <c r="J13" s="81"/>
      <c r="K13" s="80"/>
      <c r="L13" s="82"/>
      <c r="M13" s="81"/>
      <c r="N13" s="79"/>
      <c r="O13" s="79"/>
      <c r="P13" s="79"/>
      <c r="Q13" s="79"/>
      <c r="R13" s="250"/>
      <c r="S13" s="251"/>
    </row>
    <row r="14" spans="1:19" s="2" customFormat="1" ht="24.75" customHeight="1" x14ac:dyDescent="0.35">
      <c r="A14" s="36" t="s">
        <v>166</v>
      </c>
      <c r="B14" s="2" t="s">
        <v>43</v>
      </c>
      <c r="C14" s="7"/>
      <c r="D14" s="43" t="s">
        <v>165</v>
      </c>
      <c r="E14" s="38">
        <v>81176</v>
      </c>
      <c r="F14" s="42"/>
      <c r="G14" s="41">
        <v>0</v>
      </c>
      <c r="H14" s="37">
        <v>6494</v>
      </c>
      <c r="I14" s="38">
        <f t="shared" ref="I14:I46" si="0">E14+G14</f>
        <v>81176</v>
      </c>
      <c r="J14" s="42"/>
      <c r="K14" s="41">
        <v>-7306</v>
      </c>
      <c r="L14" s="38">
        <f>E14+K14</f>
        <v>73870</v>
      </c>
      <c r="M14" s="42"/>
      <c r="N14" s="211"/>
      <c r="O14" s="216">
        <f>E14+N14</f>
        <v>81176</v>
      </c>
      <c r="P14" s="216"/>
      <c r="Q14" s="216"/>
      <c r="R14" s="41">
        <v>-7306</v>
      </c>
      <c r="S14" s="252">
        <v>73870</v>
      </c>
    </row>
    <row r="15" spans="1:19" s="2" customFormat="1" ht="24.95" customHeight="1" x14ac:dyDescent="0.35">
      <c r="A15" s="36" t="s">
        <v>163</v>
      </c>
      <c r="B15" s="2" t="s">
        <v>43</v>
      </c>
      <c r="C15" s="7"/>
      <c r="D15" s="43" t="s">
        <v>162</v>
      </c>
      <c r="E15" s="38">
        <v>89761</v>
      </c>
      <c r="F15" s="42"/>
      <c r="G15" s="41">
        <v>0</v>
      </c>
      <c r="H15" s="37">
        <v>7181</v>
      </c>
      <c r="I15" s="38">
        <f t="shared" si="0"/>
        <v>89761</v>
      </c>
      <c r="J15" s="42"/>
      <c r="K15" s="41">
        <v>-8078</v>
      </c>
      <c r="L15" s="38">
        <f>I15+K15</f>
        <v>81683</v>
      </c>
      <c r="M15" s="42"/>
      <c r="N15" s="211"/>
      <c r="O15" s="216">
        <f t="shared" ref="O15:O47" si="1">E15+N15</f>
        <v>89761</v>
      </c>
      <c r="P15" s="216"/>
      <c r="Q15" s="216"/>
      <c r="R15" s="41">
        <v>-8078</v>
      </c>
      <c r="S15" s="252">
        <v>81683</v>
      </c>
    </row>
    <row r="16" spans="1:19" s="2" customFormat="1" ht="24.95" customHeight="1" x14ac:dyDescent="0.35">
      <c r="A16" s="36" t="s">
        <v>160</v>
      </c>
      <c r="B16" s="78" t="s">
        <v>159</v>
      </c>
      <c r="C16" s="7"/>
      <c r="D16" s="43" t="s">
        <v>158</v>
      </c>
      <c r="E16" s="38">
        <v>3681708</v>
      </c>
      <c r="F16" s="42"/>
      <c r="G16" s="41">
        <v>-294537</v>
      </c>
      <c r="H16" s="37">
        <v>0</v>
      </c>
      <c r="I16" s="38">
        <f t="shared" si="0"/>
        <v>3387171</v>
      </c>
      <c r="J16" s="42"/>
      <c r="K16" s="41">
        <f>L16-E16</f>
        <v>-110451</v>
      </c>
      <c r="L16" s="38">
        <v>3571257</v>
      </c>
      <c r="M16" s="42"/>
      <c r="N16" s="211"/>
      <c r="O16" s="216">
        <f t="shared" si="1"/>
        <v>3681708</v>
      </c>
      <c r="P16" s="216"/>
      <c r="Q16" s="216"/>
      <c r="R16" s="41">
        <v>-110451</v>
      </c>
      <c r="S16" s="252">
        <v>3571257</v>
      </c>
    </row>
    <row r="17" spans="1:19" s="2" customFormat="1" ht="24.95" customHeight="1" x14ac:dyDescent="0.35">
      <c r="A17" s="36" t="s">
        <v>154</v>
      </c>
      <c r="B17" s="2" t="s">
        <v>43</v>
      </c>
      <c r="C17" s="7"/>
      <c r="D17" s="43" t="s">
        <v>153</v>
      </c>
      <c r="E17" s="38">
        <v>30737</v>
      </c>
      <c r="F17" s="42"/>
      <c r="G17" s="41">
        <v>-2152</v>
      </c>
      <c r="H17" s="37">
        <v>0</v>
      </c>
      <c r="I17" s="38">
        <f>E17+G17</f>
        <v>28585</v>
      </c>
      <c r="J17" s="42"/>
      <c r="K17" s="41">
        <v>-2459</v>
      </c>
      <c r="L17" s="38">
        <f t="shared" ref="L17:L46" si="2">E17+K17</f>
        <v>28278</v>
      </c>
      <c r="M17" s="42"/>
      <c r="N17" s="211"/>
      <c r="O17" s="216">
        <f t="shared" si="1"/>
        <v>30737</v>
      </c>
      <c r="P17" s="216"/>
      <c r="Q17" s="216"/>
      <c r="R17" s="41">
        <v>-2459</v>
      </c>
      <c r="S17" s="252">
        <v>28278</v>
      </c>
    </row>
    <row r="18" spans="1:19" s="2" customFormat="1" ht="24.95" customHeight="1" x14ac:dyDescent="0.35">
      <c r="A18" s="36" t="s">
        <v>149</v>
      </c>
      <c r="B18" s="2" t="s">
        <v>43</v>
      </c>
      <c r="C18" s="7"/>
      <c r="D18" s="43" t="s">
        <v>150</v>
      </c>
      <c r="E18" s="38">
        <v>17722</v>
      </c>
      <c r="F18" s="42"/>
      <c r="G18" s="41">
        <f t="shared" ref="G18:G19" si="3">ROUND(E18*$G$8,0)</f>
        <v>0</v>
      </c>
      <c r="H18" s="37">
        <v>1418</v>
      </c>
      <c r="I18" s="38">
        <f t="shared" si="0"/>
        <v>17722</v>
      </c>
      <c r="J18" s="42"/>
      <c r="K18" s="41">
        <v>-8722</v>
      </c>
      <c r="L18" s="38">
        <f t="shared" si="2"/>
        <v>9000</v>
      </c>
      <c r="M18" s="42"/>
      <c r="N18" s="211"/>
      <c r="O18" s="216">
        <f t="shared" si="1"/>
        <v>17722</v>
      </c>
      <c r="P18" s="216"/>
      <c r="Q18" s="216"/>
      <c r="R18" s="41">
        <v>-8722</v>
      </c>
      <c r="S18" s="252">
        <v>9000</v>
      </c>
    </row>
    <row r="19" spans="1:19" s="2" customFormat="1" ht="24.75" customHeight="1" x14ac:dyDescent="0.35">
      <c r="A19" s="36" t="s">
        <v>122</v>
      </c>
      <c r="B19" s="76" t="s">
        <v>124</v>
      </c>
      <c r="C19" s="7"/>
      <c r="D19" s="43" t="s">
        <v>195</v>
      </c>
      <c r="E19" s="38">
        <v>330187</v>
      </c>
      <c r="F19" s="42"/>
      <c r="G19" s="41">
        <f t="shared" si="3"/>
        <v>0</v>
      </c>
      <c r="H19" s="37">
        <v>26415</v>
      </c>
      <c r="I19" s="38">
        <f t="shared" si="0"/>
        <v>330187</v>
      </c>
      <c r="J19" s="42"/>
      <c r="K19" s="41">
        <v>-29717</v>
      </c>
      <c r="L19" s="38">
        <f t="shared" si="2"/>
        <v>300470</v>
      </c>
      <c r="M19" s="42"/>
      <c r="N19" s="211"/>
      <c r="O19" s="216">
        <f t="shared" si="1"/>
        <v>330187</v>
      </c>
      <c r="P19" s="216"/>
      <c r="Q19" s="216"/>
      <c r="R19" s="41">
        <v>-29717</v>
      </c>
      <c r="S19" s="252">
        <v>300470</v>
      </c>
    </row>
    <row r="20" spans="1:19" s="2" customFormat="1" ht="24.95" customHeight="1" x14ac:dyDescent="0.35">
      <c r="A20" s="36" t="s">
        <v>143</v>
      </c>
      <c r="B20" s="2" t="s">
        <v>43</v>
      </c>
      <c r="C20" s="7"/>
      <c r="D20" s="43" t="s">
        <v>144</v>
      </c>
      <c r="E20" s="38">
        <v>32742</v>
      </c>
      <c r="F20" s="42"/>
      <c r="G20" s="41">
        <v>0</v>
      </c>
      <c r="H20" s="37">
        <v>2619</v>
      </c>
      <c r="I20" s="38">
        <f t="shared" si="0"/>
        <v>32742</v>
      </c>
      <c r="J20" s="42"/>
      <c r="K20" s="41">
        <v>-2947</v>
      </c>
      <c r="L20" s="38">
        <f t="shared" si="2"/>
        <v>29795</v>
      </c>
      <c r="M20" s="42"/>
      <c r="N20" s="211"/>
      <c r="O20" s="216">
        <f t="shared" si="1"/>
        <v>32742</v>
      </c>
      <c r="P20" s="216"/>
      <c r="Q20" s="216"/>
      <c r="R20" s="41">
        <v>-2947</v>
      </c>
      <c r="S20" s="252">
        <v>29795</v>
      </c>
    </row>
    <row r="21" spans="1:19" s="2" customFormat="1" ht="24.95" customHeight="1" x14ac:dyDescent="0.35">
      <c r="A21" s="36" t="s">
        <v>140</v>
      </c>
      <c r="B21" s="2" t="s">
        <v>43</v>
      </c>
      <c r="C21" s="7"/>
      <c r="D21" s="43" t="s">
        <v>141</v>
      </c>
      <c r="E21" s="38">
        <v>23386</v>
      </c>
      <c r="F21" s="42"/>
      <c r="G21" s="41">
        <v>-1871</v>
      </c>
      <c r="H21" s="37">
        <v>0</v>
      </c>
      <c r="I21" s="38">
        <f t="shared" si="0"/>
        <v>21515</v>
      </c>
      <c r="J21" s="42"/>
      <c r="K21" s="41">
        <v>-3386</v>
      </c>
      <c r="L21" s="38">
        <f t="shared" si="2"/>
        <v>20000</v>
      </c>
      <c r="M21" s="42"/>
      <c r="N21" s="211"/>
      <c r="O21" s="216">
        <f t="shared" si="1"/>
        <v>23386</v>
      </c>
      <c r="P21" s="216"/>
      <c r="Q21" s="216"/>
      <c r="R21" s="41">
        <v>-3386</v>
      </c>
      <c r="S21" s="252">
        <v>20000</v>
      </c>
    </row>
    <row r="22" spans="1:19" s="2" customFormat="1" ht="24.95" customHeight="1" x14ac:dyDescent="0.35">
      <c r="A22" s="36" t="s">
        <v>136</v>
      </c>
      <c r="B22" s="2" t="s">
        <v>43</v>
      </c>
      <c r="C22" s="7"/>
      <c r="D22" s="43" t="s">
        <v>135</v>
      </c>
      <c r="E22" s="38">
        <v>104773</v>
      </c>
      <c r="F22" s="42"/>
      <c r="G22" s="41">
        <v>-8382</v>
      </c>
      <c r="H22" s="37">
        <v>0</v>
      </c>
      <c r="I22" s="38">
        <f t="shared" si="0"/>
        <v>96391</v>
      </c>
      <c r="J22" s="42"/>
      <c r="K22" s="41">
        <v>-9430</v>
      </c>
      <c r="L22" s="38">
        <f t="shared" si="2"/>
        <v>95343</v>
      </c>
      <c r="M22" s="42"/>
      <c r="N22" s="211"/>
      <c r="O22" s="216">
        <f t="shared" si="1"/>
        <v>104773</v>
      </c>
      <c r="P22" s="216"/>
      <c r="Q22" s="216"/>
      <c r="R22" s="41">
        <v>-9430</v>
      </c>
      <c r="S22" s="252">
        <v>95343</v>
      </c>
    </row>
    <row r="23" spans="1:19" s="2" customFormat="1" ht="24.95" hidden="1" customHeight="1" x14ac:dyDescent="0.35">
      <c r="A23" s="36"/>
      <c r="C23" s="7"/>
      <c r="D23" s="43" t="s">
        <v>210</v>
      </c>
      <c r="E23" s="38">
        <v>0</v>
      </c>
      <c r="F23" s="42">
        <v>0</v>
      </c>
      <c r="G23" s="41">
        <v>0</v>
      </c>
      <c r="H23" s="37">
        <v>0</v>
      </c>
      <c r="I23" s="38">
        <f t="shared" si="0"/>
        <v>0</v>
      </c>
      <c r="J23" s="42"/>
      <c r="K23" s="41">
        <v>0</v>
      </c>
      <c r="L23" s="38">
        <f t="shared" si="2"/>
        <v>0</v>
      </c>
      <c r="M23" s="42"/>
      <c r="N23" s="211">
        <v>0</v>
      </c>
      <c r="O23" s="216">
        <f t="shared" si="1"/>
        <v>0</v>
      </c>
      <c r="P23" s="216"/>
      <c r="Q23" s="216"/>
      <c r="R23" s="41">
        <v>0</v>
      </c>
      <c r="S23" s="252">
        <v>0</v>
      </c>
    </row>
    <row r="24" spans="1:19" s="2" customFormat="1" ht="24.95" customHeight="1" x14ac:dyDescent="0.35">
      <c r="A24" s="36" t="s">
        <v>132</v>
      </c>
      <c r="B24" s="2" t="s">
        <v>43</v>
      </c>
      <c r="C24" s="7"/>
      <c r="D24" s="43" t="s">
        <v>131</v>
      </c>
      <c r="E24" s="38">
        <v>163118</v>
      </c>
      <c r="F24" s="42"/>
      <c r="G24" s="41">
        <v>0</v>
      </c>
      <c r="H24" s="37">
        <v>11418</v>
      </c>
      <c r="I24" s="38">
        <f t="shared" si="0"/>
        <v>163118</v>
      </c>
      <c r="J24" s="42"/>
      <c r="K24" s="41">
        <v>-13049</v>
      </c>
      <c r="L24" s="38">
        <f t="shared" si="2"/>
        <v>150069</v>
      </c>
      <c r="M24" s="42"/>
      <c r="N24" s="211"/>
      <c r="O24" s="216">
        <f t="shared" si="1"/>
        <v>163118</v>
      </c>
      <c r="P24" s="216"/>
      <c r="Q24" s="216"/>
      <c r="R24" s="41">
        <v>-13049</v>
      </c>
      <c r="S24" s="252">
        <v>150069</v>
      </c>
    </row>
    <row r="25" spans="1:19" s="2" customFormat="1" ht="24.95" hidden="1" customHeight="1" x14ac:dyDescent="0.35">
      <c r="A25" s="36"/>
      <c r="C25" s="7"/>
      <c r="D25" s="43" t="s">
        <v>211</v>
      </c>
      <c r="E25" s="38">
        <v>0</v>
      </c>
      <c r="F25" s="42"/>
      <c r="G25" s="41">
        <v>0</v>
      </c>
      <c r="H25" s="37">
        <v>0</v>
      </c>
      <c r="I25" s="38">
        <f t="shared" si="0"/>
        <v>0</v>
      </c>
      <c r="J25" s="42"/>
      <c r="K25" s="41">
        <v>0</v>
      </c>
      <c r="L25" s="38">
        <f t="shared" si="2"/>
        <v>0</v>
      </c>
      <c r="M25" s="42"/>
      <c r="N25" s="211"/>
      <c r="O25" s="216">
        <f t="shared" si="1"/>
        <v>0</v>
      </c>
      <c r="P25" s="216"/>
      <c r="Q25" s="216"/>
      <c r="R25" s="41">
        <v>0</v>
      </c>
      <c r="S25" s="252">
        <v>0</v>
      </c>
    </row>
    <row r="26" spans="1:19" s="2" customFormat="1" ht="24.75" customHeight="1" x14ac:dyDescent="0.35">
      <c r="A26" s="36" t="s">
        <v>127</v>
      </c>
      <c r="B26" s="2" t="s">
        <v>43</v>
      </c>
      <c r="C26" s="7"/>
      <c r="D26" s="43" t="s">
        <v>128</v>
      </c>
      <c r="E26" s="38">
        <v>45947</v>
      </c>
      <c r="F26" s="42"/>
      <c r="G26" s="41">
        <v>-3676</v>
      </c>
      <c r="H26" s="37">
        <v>0</v>
      </c>
      <c r="I26" s="38">
        <f t="shared" si="0"/>
        <v>42271</v>
      </c>
      <c r="J26" s="42"/>
      <c r="K26" s="41">
        <v>-45947</v>
      </c>
      <c r="L26" s="38">
        <f t="shared" si="2"/>
        <v>0</v>
      </c>
      <c r="M26" s="42"/>
      <c r="N26" s="211"/>
      <c r="O26" s="216">
        <f t="shared" si="1"/>
        <v>45947</v>
      </c>
      <c r="P26" s="216"/>
      <c r="Q26" s="216"/>
      <c r="R26" s="41">
        <v>-45947</v>
      </c>
      <c r="S26" s="252">
        <v>0</v>
      </c>
    </row>
    <row r="27" spans="1:19" s="2" customFormat="1" ht="24.95" customHeight="1" x14ac:dyDescent="0.35">
      <c r="A27" s="36" t="s">
        <v>122</v>
      </c>
      <c r="B27" s="76" t="s">
        <v>124</v>
      </c>
      <c r="C27" s="7"/>
      <c r="D27" s="43" t="s">
        <v>123</v>
      </c>
      <c r="E27" s="38">
        <v>84193</v>
      </c>
      <c r="F27" s="42"/>
      <c r="G27" s="41">
        <v>0</v>
      </c>
      <c r="H27" s="37">
        <v>5894</v>
      </c>
      <c r="I27" s="38">
        <f t="shared" si="0"/>
        <v>84193</v>
      </c>
      <c r="J27" s="42"/>
      <c r="K27" s="41">
        <v>-6735</v>
      </c>
      <c r="L27" s="38">
        <f t="shared" si="2"/>
        <v>77458</v>
      </c>
      <c r="M27" s="42"/>
      <c r="N27" s="211"/>
      <c r="O27" s="216">
        <f t="shared" si="1"/>
        <v>84193</v>
      </c>
      <c r="P27" s="216"/>
      <c r="Q27" s="216"/>
      <c r="R27" s="41">
        <v>-6735</v>
      </c>
      <c r="S27" s="252">
        <v>77458</v>
      </c>
    </row>
    <row r="28" spans="1:19" s="2" customFormat="1" ht="24.95" customHeight="1" x14ac:dyDescent="0.35">
      <c r="A28" s="36" t="s">
        <v>119</v>
      </c>
      <c r="B28" s="2" t="s">
        <v>43</v>
      </c>
      <c r="C28" s="7"/>
      <c r="D28" s="43" t="s">
        <v>120</v>
      </c>
      <c r="E28" s="38">
        <v>1783981</v>
      </c>
      <c r="F28" s="42"/>
      <c r="G28" s="41">
        <v>-142718</v>
      </c>
      <c r="H28" s="37">
        <v>994801</v>
      </c>
      <c r="I28" s="38">
        <f>E28+G28</f>
        <v>1641263</v>
      </c>
      <c r="J28" s="42"/>
      <c r="K28" s="245">
        <f>L28-E28</f>
        <v>-1783981</v>
      </c>
      <c r="L28" s="38">
        <v>0</v>
      </c>
      <c r="M28" s="247"/>
      <c r="N28" s="248"/>
      <c r="O28" s="249">
        <v>0</v>
      </c>
      <c r="P28" s="249"/>
      <c r="Q28" s="249"/>
      <c r="R28" s="245">
        <v>-1783981</v>
      </c>
      <c r="S28" s="252">
        <v>0</v>
      </c>
    </row>
    <row r="29" spans="1:19" s="2" customFormat="1" ht="24.95" customHeight="1" x14ac:dyDescent="0.35">
      <c r="A29" s="36" t="s">
        <v>115</v>
      </c>
      <c r="B29" s="68" t="s">
        <v>93</v>
      </c>
      <c r="C29" s="7"/>
      <c r="D29" s="43" t="s">
        <v>114</v>
      </c>
      <c r="E29" s="38">
        <v>48668</v>
      </c>
      <c r="F29" s="42"/>
      <c r="G29" s="41">
        <v>-3220</v>
      </c>
      <c r="H29" s="37">
        <v>0</v>
      </c>
      <c r="I29" s="38">
        <f t="shared" si="0"/>
        <v>45448</v>
      </c>
      <c r="J29" s="42"/>
      <c r="K29" s="41">
        <v>-3709</v>
      </c>
      <c r="L29" s="38">
        <f t="shared" si="2"/>
        <v>44959</v>
      </c>
      <c r="M29" s="42"/>
      <c r="N29" s="211"/>
      <c r="O29" s="216">
        <f t="shared" si="1"/>
        <v>48668</v>
      </c>
      <c r="P29" s="216"/>
      <c r="Q29" s="216"/>
      <c r="R29" s="41">
        <v>-3709</v>
      </c>
      <c r="S29" s="252">
        <v>44959</v>
      </c>
    </row>
    <row r="30" spans="1:19" s="2" customFormat="1" ht="24.95" customHeight="1" x14ac:dyDescent="0.35">
      <c r="A30" s="36" t="s">
        <v>110</v>
      </c>
      <c r="B30" s="2" t="s">
        <v>43</v>
      </c>
      <c r="C30" s="7"/>
      <c r="D30" s="43" t="s">
        <v>11</v>
      </c>
      <c r="E30" s="38">
        <v>123609</v>
      </c>
      <c r="F30" s="42"/>
      <c r="G30" s="41">
        <f t="shared" ref="G30:G36" si="4">ROUND(E30*$G$8,0)</f>
        <v>0</v>
      </c>
      <c r="H30" s="37">
        <v>9889</v>
      </c>
      <c r="I30" s="38">
        <f t="shared" si="0"/>
        <v>123609</v>
      </c>
      <c r="J30" s="42"/>
      <c r="K30" s="41">
        <v>-23609</v>
      </c>
      <c r="L30" s="38">
        <f t="shared" si="2"/>
        <v>100000</v>
      </c>
      <c r="M30" s="42"/>
      <c r="N30" s="211"/>
      <c r="O30" s="216">
        <f t="shared" si="1"/>
        <v>123609</v>
      </c>
      <c r="P30" s="216"/>
      <c r="Q30" s="216"/>
      <c r="R30" s="41">
        <v>-23609</v>
      </c>
      <c r="S30" s="252">
        <v>100000</v>
      </c>
    </row>
    <row r="31" spans="1:19" s="2" customFormat="1" ht="24.95" customHeight="1" x14ac:dyDescent="0.35">
      <c r="A31" s="36" t="s">
        <v>109</v>
      </c>
      <c r="B31" s="2" t="s">
        <v>43</v>
      </c>
      <c r="C31" s="7"/>
      <c r="D31" s="43" t="s">
        <v>108</v>
      </c>
      <c r="E31" s="38">
        <v>68290</v>
      </c>
      <c r="F31" s="42"/>
      <c r="G31" s="41">
        <v>-5463</v>
      </c>
      <c r="H31" s="37">
        <v>0</v>
      </c>
      <c r="I31" s="38">
        <f t="shared" si="0"/>
        <v>62827</v>
      </c>
      <c r="J31" s="42"/>
      <c r="K31" s="41">
        <v>-6146</v>
      </c>
      <c r="L31" s="38">
        <f t="shared" si="2"/>
        <v>62144</v>
      </c>
      <c r="M31" s="42"/>
      <c r="N31" s="211"/>
      <c r="O31" s="216">
        <f t="shared" si="1"/>
        <v>68290</v>
      </c>
      <c r="P31" s="216"/>
      <c r="Q31" s="216"/>
      <c r="R31" s="41">
        <v>-6146</v>
      </c>
      <c r="S31" s="252">
        <v>62144</v>
      </c>
    </row>
    <row r="32" spans="1:19" s="2" customFormat="1" ht="24.95" customHeight="1" x14ac:dyDescent="0.35">
      <c r="A32" s="36" t="s">
        <v>103</v>
      </c>
      <c r="B32" s="74" t="s">
        <v>65</v>
      </c>
      <c r="C32" s="7"/>
      <c r="D32" s="43" t="s">
        <v>104</v>
      </c>
      <c r="E32" s="38">
        <v>2206734</v>
      </c>
      <c r="F32" s="42"/>
      <c r="G32" s="41">
        <v>-106081</v>
      </c>
      <c r="H32" s="37">
        <v>70458</v>
      </c>
      <c r="I32" s="38">
        <f t="shared" si="0"/>
        <v>2100653</v>
      </c>
      <c r="J32" s="42"/>
      <c r="K32" s="41">
        <v>-198606</v>
      </c>
      <c r="L32" s="38">
        <f t="shared" si="2"/>
        <v>2008128</v>
      </c>
      <c r="M32" s="42"/>
      <c r="N32" s="211"/>
      <c r="O32" s="216">
        <f t="shared" si="1"/>
        <v>2206734</v>
      </c>
      <c r="P32" s="216"/>
      <c r="Q32" s="216"/>
      <c r="R32" s="41">
        <v>-198606</v>
      </c>
      <c r="S32" s="252">
        <v>2008128</v>
      </c>
    </row>
    <row r="33" spans="1:19" s="2" customFormat="1" ht="24.95" hidden="1" customHeight="1" x14ac:dyDescent="0.35">
      <c r="A33" s="36"/>
      <c r="B33" s="74"/>
      <c r="C33" s="7"/>
      <c r="D33" s="43" t="s">
        <v>213</v>
      </c>
      <c r="E33" s="38">
        <v>0</v>
      </c>
      <c r="F33" s="42"/>
      <c r="G33" s="41">
        <v>0</v>
      </c>
      <c r="H33" s="37">
        <v>0</v>
      </c>
      <c r="I33" s="38">
        <f t="shared" si="0"/>
        <v>0</v>
      </c>
      <c r="J33" s="42"/>
      <c r="K33" s="41">
        <v>0</v>
      </c>
      <c r="L33" s="38">
        <f t="shared" si="2"/>
        <v>0</v>
      </c>
      <c r="M33" s="42"/>
      <c r="N33" s="211"/>
      <c r="O33" s="216">
        <f t="shared" si="1"/>
        <v>0</v>
      </c>
      <c r="P33" s="216"/>
      <c r="Q33" s="216"/>
      <c r="R33" s="41">
        <v>0</v>
      </c>
      <c r="S33" s="252">
        <v>0</v>
      </c>
    </row>
    <row r="34" spans="1:19" s="2" customFormat="1" ht="24.95" hidden="1" customHeight="1" x14ac:dyDescent="0.35">
      <c r="A34" s="36"/>
      <c r="B34" s="74"/>
      <c r="C34" s="7"/>
      <c r="D34" s="43" t="s">
        <v>214</v>
      </c>
      <c r="E34" s="38">
        <v>0</v>
      </c>
      <c r="F34" s="42"/>
      <c r="G34" s="41">
        <v>0</v>
      </c>
      <c r="H34" s="37">
        <v>0</v>
      </c>
      <c r="I34" s="38">
        <f t="shared" si="0"/>
        <v>0</v>
      </c>
      <c r="J34" s="42"/>
      <c r="K34" s="41">
        <v>0</v>
      </c>
      <c r="L34" s="38">
        <v>0</v>
      </c>
      <c r="M34" s="42"/>
      <c r="N34" s="211"/>
      <c r="O34" s="216">
        <f t="shared" si="1"/>
        <v>0</v>
      </c>
      <c r="P34" s="216"/>
      <c r="Q34" s="216"/>
      <c r="R34" s="41">
        <v>0</v>
      </c>
      <c r="S34" s="252">
        <v>0</v>
      </c>
    </row>
    <row r="35" spans="1:19" s="2" customFormat="1" ht="24.95" customHeight="1" x14ac:dyDescent="0.35">
      <c r="A35" s="36" t="s">
        <v>97</v>
      </c>
      <c r="B35" s="68" t="s">
        <v>99</v>
      </c>
      <c r="C35" s="7"/>
      <c r="D35" s="43" t="s">
        <v>98</v>
      </c>
      <c r="E35" s="38">
        <v>46774</v>
      </c>
      <c r="F35" s="42"/>
      <c r="G35" s="41">
        <v>-3095</v>
      </c>
      <c r="H35" s="37">
        <v>0</v>
      </c>
      <c r="I35" s="38">
        <f t="shared" si="0"/>
        <v>43679</v>
      </c>
      <c r="J35" s="42"/>
      <c r="K35" s="41">
        <v>-3564</v>
      </c>
      <c r="L35" s="246">
        <f t="shared" si="2"/>
        <v>43210</v>
      </c>
      <c r="M35" s="42"/>
      <c r="N35" s="211"/>
      <c r="O35" s="216">
        <f t="shared" si="1"/>
        <v>46774</v>
      </c>
      <c r="P35" s="216"/>
      <c r="Q35" s="216"/>
      <c r="R35" s="41">
        <v>-3564</v>
      </c>
      <c r="S35" s="253">
        <v>43210</v>
      </c>
    </row>
    <row r="36" spans="1:19" s="2" customFormat="1" ht="24.95" hidden="1" customHeight="1" x14ac:dyDescent="0.35">
      <c r="A36" s="36" t="s">
        <v>94</v>
      </c>
      <c r="B36" s="68" t="s">
        <v>93</v>
      </c>
      <c r="C36" s="7"/>
      <c r="D36" s="77" t="s">
        <v>24</v>
      </c>
      <c r="E36" s="38">
        <v>0</v>
      </c>
      <c r="F36" s="42"/>
      <c r="G36" s="41">
        <f t="shared" si="4"/>
        <v>0</v>
      </c>
      <c r="H36" s="37">
        <f t="shared" ref="H36" si="5">E36+G36</f>
        <v>0</v>
      </c>
      <c r="I36" s="38">
        <f t="shared" si="0"/>
        <v>0</v>
      </c>
      <c r="J36" s="42"/>
      <c r="K36" s="41">
        <v>0</v>
      </c>
      <c r="L36" s="38">
        <f t="shared" si="2"/>
        <v>0</v>
      </c>
      <c r="M36" s="42"/>
      <c r="N36" s="211"/>
      <c r="O36" s="216">
        <f t="shared" si="1"/>
        <v>0</v>
      </c>
      <c r="P36" s="216"/>
      <c r="Q36" s="216"/>
      <c r="R36" s="41">
        <v>0</v>
      </c>
      <c r="S36" s="252">
        <v>0</v>
      </c>
    </row>
    <row r="37" spans="1:19" s="2" customFormat="1" ht="24.95" customHeight="1" x14ac:dyDescent="0.35">
      <c r="A37" s="36" t="s">
        <v>89</v>
      </c>
      <c r="B37" s="2" t="s">
        <v>43</v>
      </c>
      <c r="C37" s="7"/>
      <c r="D37" s="43" t="s">
        <v>88</v>
      </c>
      <c r="E37" s="38">
        <v>767178</v>
      </c>
      <c r="F37" s="42"/>
      <c r="G37" s="41">
        <v>0</v>
      </c>
      <c r="H37" s="37">
        <v>53702</v>
      </c>
      <c r="I37" s="38">
        <f t="shared" si="0"/>
        <v>767178</v>
      </c>
      <c r="J37" s="42"/>
      <c r="K37" s="41">
        <v>-61374</v>
      </c>
      <c r="L37" s="38">
        <f t="shared" si="2"/>
        <v>705804</v>
      </c>
      <c r="M37" s="42"/>
      <c r="N37" s="211"/>
      <c r="O37" s="216">
        <f t="shared" si="1"/>
        <v>767178</v>
      </c>
      <c r="P37" s="216"/>
      <c r="Q37" s="216"/>
      <c r="R37" s="41">
        <v>-61374</v>
      </c>
      <c r="S37" s="252">
        <v>705804</v>
      </c>
    </row>
    <row r="38" spans="1:19" s="2" customFormat="1" ht="24.95" customHeight="1" x14ac:dyDescent="0.35">
      <c r="A38" s="36" t="s">
        <v>84</v>
      </c>
      <c r="B38" s="2" t="s">
        <v>43</v>
      </c>
      <c r="C38" s="7"/>
      <c r="D38" s="43" t="s">
        <v>85</v>
      </c>
      <c r="E38" s="38">
        <v>29111</v>
      </c>
      <c r="F38" s="42"/>
      <c r="G38" s="41">
        <v>-1926</v>
      </c>
      <c r="H38" s="37">
        <v>0</v>
      </c>
      <c r="I38" s="38">
        <f t="shared" si="0"/>
        <v>27185</v>
      </c>
      <c r="J38" s="42"/>
      <c r="K38" s="41">
        <v>-2218</v>
      </c>
      <c r="L38" s="38">
        <f t="shared" si="2"/>
        <v>26893</v>
      </c>
      <c r="M38" s="42"/>
      <c r="N38" s="211"/>
      <c r="O38" s="216">
        <f t="shared" si="1"/>
        <v>29111</v>
      </c>
      <c r="P38" s="216"/>
      <c r="Q38" s="216"/>
      <c r="R38" s="41">
        <v>-2218</v>
      </c>
      <c r="S38" s="252">
        <v>26893</v>
      </c>
    </row>
    <row r="39" spans="1:19" s="2" customFormat="1" ht="24.95" customHeight="1" x14ac:dyDescent="0.35">
      <c r="A39" s="36" t="s">
        <v>49</v>
      </c>
      <c r="B39" s="2" t="s">
        <v>43</v>
      </c>
      <c r="C39" s="7"/>
      <c r="D39" s="43" t="s">
        <v>83</v>
      </c>
      <c r="E39" s="38">
        <v>186914</v>
      </c>
      <c r="F39" s="42"/>
      <c r="G39" s="41">
        <v>-12367</v>
      </c>
      <c r="H39" s="37">
        <v>0</v>
      </c>
      <c r="I39" s="38">
        <f t="shared" si="0"/>
        <v>174547</v>
      </c>
      <c r="J39" s="42"/>
      <c r="K39" s="41">
        <v>-14243</v>
      </c>
      <c r="L39" s="38">
        <f t="shared" si="2"/>
        <v>172671</v>
      </c>
      <c r="M39" s="42"/>
      <c r="N39" s="211"/>
      <c r="O39" s="216">
        <f t="shared" si="1"/>
        <v>186914</v>
      </c>
      <c r="P39" s="216"/>
      <c r="Q39" s="216"/>
      <c r="R39" s="41">
        <v>-14243</v>
      </c>
      <c r="S39" s="252">
        <v>172671</v>
      </c>
    </row>
    <row r="40" spans="1:19" s="2" customFormat="1" ht="24.95" customHeight="1" x14ac:dyDescent="0.35">
      <c r="A40" s="36" t="s">
        <v>81</v>
      </c>
      <c r="B40" s="74" t="s">
        <v>65</v>
      </c>
      <c r="C40" s="7"/>
      <c r="D40" s="43" t="s">
        <v>82</v>
      </c>
      <c r="E40" s="38">
        <v>4486362</v>
      </c>
      <c r="F40" s="42"/>
      <c r="G40" s="41">
        <v>0</v>
      </c>
      <c r="H40" s="37">
        <v>155000</v>
      </c>
      <c r="I40" s="38">
        <f t="shared" si="0"/>
        <v>4486362</v>
      </c>
      <c r="J40" s="42"/>
      <c r="K40" s="41">
        <f>L40-E40</f>
        <v>-134591</v>
      </c>
      <c r="L40" s="38">
        <v>4351771</v>
      </c>
      <c r="M40" s="42"/>
      <c r="N40" s="211"/>
      <c r="O40" s="216">
        <f t="shared" si="1"/>
        <v>4486362</v>
      </c>
      <c r="P40" s="216"/>
      <c r="Q40" s="216"/>
      <c r="R40" s="41">
        <v>-134591</v>
      </c>
      <c r="S40" s="252">
        <v>4351771</v>
      </c>
    </row>
    <row r="41" spans="1:19" s="2" customFormat="1" ht="24.95" hidden="1" customHeight="1" x14ac:dyDescent="0.35">
      <c r="A41" s="36"/>
      <c r="B41" s="74"/>
      <c r="C41" s="7"/>
      <c r="D41" s="73" t="s">
        <v>201</v>
      </c>
      <c r="E41" s="38">
        <v>0</v>
      </c>
      <c r="F41" s="75"/>
      <c r="G41" s="41">
        <v>0</v>
      </c>
      <c r="H41" s="37">
        <v>0</v>
      </c>
      <c r="I41" s="38">
        <f t="shared" si="0"/>
        <v>0</v>
      </c>
      <c r="J41" s="75"/>
      <c r="K41" s="41">
        <v>0</v>
      </c>
      <c r="L41" s="38">
        <f t="shared" si="2"/>
        <v>0</v>
      </c>
      <c r="M41" s="75"/>
      <c r="N41" s="212"/>
      <c r="O41" s="216">
        <f t="shared" si="1"/>
        <v>0</v>
      </c>
      <c r="P41" s="216"/>
      <c r="Q41" s="216"/>
      <c r="R41" s="41">
        <v>0</v>
      </c>
      <c r="S41" s="252">
        <v>0</v>
      </c>
    </row>
    <row r="42" spans="1:19" s="2" customFormat="1" ht="24.95" customHeight="1" x14ac:dyDescent="0.35">
      <c r="A42" s="36" t="s">
        <v>78</v>
      </c>
      <c r="B42" s="2" t="s">
        <v>43</v>
      </c>
      <c r="C42" s="7"/>
      <c r="D42" s="73" t="s">
        <v>77</v>
      </c>
      <c r="E42" s="38">
        <v>8878</v>
      </c>
      <c r="F42" s="75"/>
      <c r="G42" s="41">
        <v>-710</v>
      </c>
      <c r="H42" s="37">
        <v>0</v>
      </c>
      <c r="I42" s="38">
        <f t="shared" si="0"/>
        <v>8168</v>
      </c>
      <c r="J42" s="75"/>
      <c r="K42" s="41">
        <v>-8878</v>
      </c>
      <c r="L42" s="38">
        <f t="shared" si="2"/>
        <v>0</v>
      </c>
      <c r="M42" s="75"/>
      <c r="N42" s="212"/>
      <c r="O42" s="216">
        <f t="shared" si="1"/>
        <v>8878</v>
      </c>
      <c r="P42" s="216"/>
      <c r="Q42" s="216"/>
      <c r="R42" s="41">
        <v>-8878</v>
      </c>
      <c r="S42" s="252">
        <v>0</v>
      </c>
    </row>
    <row r="43" spans="1:19" s="2" customFormat="1" ht="24.6" customHeight="1" x14ac:dyDescent="0.35">
      <c r="A43" s="36" t="s">
        <v>71</v>
      </c>
      <c r="B43" s="76" t="s">
        <v>73</v>
      </c>
      <c r="C43" s="7"/>
      <c r="D43" s="73" t="s">
        <v>72</v>
      </c>
      <c r="E43" s="38">
        <v>257730</v>
      </c>
      <c r="F43" s="75"/>
      <c r="G43" s="41">
        <v>0</v>
      </c>
      <c r="H43" s="37">
        <v>18041</v>
      </c>
      <c r="I43" s="38">
        <f t="shared" si="0"/>
        <v>257730</v>
      </c>
      <c r="J43" s="75"/>
      <c r="K43" s="41">
        <v>-20618</v>
      </c>
      <c r="L43" s="38">
        <f t="shared" si="2"/>
        <v>237112</v>
      </c>
      <c r="M43" s="75"/>
      <c r="N43" s="212"/>
      <c r="O43" s="216">
        <f t="shared" si="1"/>
        <v>257730</v>
      </c>
      <c r="P43" s="216"/>
      <c r="Q43" s="216"/>
      <c r="R43" s="41">
        <v>-20618</v>
      </c>
      <c r="S43" s="252">
        <v>237112</v>
      </c>
    </row>
    <row r="44" spans="1:19" s="2" customFormat="1" ht="24.95" customHeight="1" x14ac:dyDescent="0.35">
      <c r="A44" s="36" t="s">
        <v>70</v>
      </c>
      <c r="B44" s="2" t="s">
        <v>43</v>
      </c>
      <c r="C44" s="7"/>
      <c r="D44" s="43" t="s">
        <v>69</v>
      </c>
      <c r="E44" s="38">
        <v>356999</v>
      </c>
      <c r="F44" s="42"/>
      <c r="G44" s="41">
        <v>0</v>
      </c>
      <c r="H44" s="37">
        <v>23621</v>
      </c>
      <c r="I44" s="38">
        <f t="shared" si="0"/>
        <v>356999</v>
      </c>
      <c r="J44" s="42"/>
      <c r="K44" s="41">
        <v>-27203</v>
      </c>
      <c r="L44" s="38">
        <f t="shared" si="2"/>
        <v>329796</v>
      </c>
      <c r="M44" s="42"/>
      <c r="N44" s="211"/>
      <c r="O44" s="216">
        <f t="shared" si="1"/>
        <v>356999</v>
      </c>
      <c r="P44" s="216"/>
      <c r="Q44" s="216"/>
      <c r="R44" s="41">
        <v>-27203</v>
      </c>
      <c r="S44" s="252">
        <v>329796</v>
      </c>
    </row>
    <row r="45" spans="1:19" s="2" customFormat="1" ht="24.95" customHeight="1" x14ac:dyDescent="0.35">
      <c r="A45" s="36" t="s">
        <v>66</v>
      </c>
      <c r="B45" s="74" t="s">
        <v>65</v>
      </c>
      <c r="C45" s="7"/>
      <c r="D45" s="43" t="s">
        <v>64</v>
      </c>
      <c r="E45" s="38">
        <v>141076</v>
      </c>
      <c r="F45" s="42"/>
      <c r="G45" s="41">
        <v>-9875</v>
      </c>
      <c r="H45" s="37">
        <v>0</v>
      </c>
      <c r="I45" s="38">
        <f t="shared" si="0"/>
        <v>131201</v>
      </c>
      <c r="J45" s="42"/>
      <c r="K45" s="41">
        <v>-11286</v>
      </c>
      <c r="L45" s="38">
        <f t="shared" si="2"/>
        <v>129790</v>
      </c>
      <c r="M45" s="42"/>
      <c r="N45" s="211"/>
      <c r="O45" s="216">
        <f t="shared" si="1"/>
        <v>141076</v>
      </c>
      <c r="P45" s="216"/>
      <c r="Q45" s="216"/>
      <c r="R45" s="41">
        <v>-11286</v>
      </c>
      <c r="S45" s="252">
        <v>129790</v>
      </c>
    </row>
    <row r="46" spans="1:19" s="2" customFormat="1" ht="24.95" customHeight="1" x14ac:dyDescent="0.35">
      <c r="A46" s="36" t="s">
        <v>62</v>
      </c>
      <c r="B46" s="2" t="s">
        <v>43</v>
      </c>
      <c r="C46" s="7"/>
      <c r="D46" s="73" t="s">
        <v>61</v>
      </c>
      <c r="E46" s="38">
        <v>98119</v>
      </c>
      <c r="F46" s="42"/>
      <c r="G46" s="41">
        <v>0</v>
      </c>
      <c r="H46" s="37">
        <v>7850</v>
      </c>
      <c r="I46" s="38">
        <f t="shared" si="0"/>
        <v>98119</v>
      </c>
      <c r="J46" s="42"/>
      <c r="K46" s="41">
        <v>-8831</v>
      </c>
      <c r="L46" s="38">
        <f t="shared" si="2"/>
        <v>89288</v>
      </c>
      <c r="M46" s="42"/>
      <c r="N46" s="211"/>
      <c r="O46" s="216">
        <f t="shared" si="1"/>
        <v>98119</v>
      </c>
      <c r="P46" s="216"/>
      <c r="Q46" s="216"/>
      <c r="R46" s="41">
        <v>-8831</v>
      </c>
      <c r="S46" s="252">
        <v>89288</v>
      </c>
    </row>
    <row r="47" spans="1:19" s="2" customFormat="1" ht="24.95" customHeight="1" x14ac:dyDescent="0.35">
      <c r="A47" s="36"/>
      <c r="C47" s="7"/>
      <c r="D47" s="225" t="s">
        <v>215</v>
      </c>
      <c r="E47" s="222">
        <v>0</v>
      </c>
      <c r="F47" s="46"/>
      <c r="G47" s="237">
        <v>0</v>
      </c>
      <c r="H47" s="236">
        <v>0</v>
      </c>
      <c r="I47" s="222">
        <v>0</v>
      </c>
      <c r="J47" s="46"/>
      <c r="K47" s="48">
        <f>L47</f>
        <v>200000</v>
      </c>
      <c r="L47" s="222">
        <v>200000</v>
      </c>
      <c r="M47" s="46"/>
      <c r="N47" s="13"/>
      <c r="O47" s="226">
        <f t="shared" si="1"/>
        <v>0</v>
      </c>
      <c r="P47" s="226"/>
      <c r="Q47" s="226"/>
      <c r="R47" s="48">
        <v>200000</v>
      </c>
      <c r="S47" s="254">
        <v>200000</v>
      </c>
    </row>
    <row r="48" spans="1:19" s="22" customFormat="1" ht="24.95" customHeight="1" x14ac:dyDescent="0.4">
      <c r="A48" s="29"/>
      <c r="C48" s="28"/>
      <c r="D48" s="72" t="s">
        <v>57</v>
      </c>
      <c r="E48" s="55">
        <f>SUM(E14:E47)</f>
        <v>15295873</v>
      </c>
      <c r="F48" s="54"/>
      <c r="G48" s="55">
        <f>SUM(G14:G47)</f>
        <v>-596073</v>
      </c>
      <c r="H48" s="55">
        <f>SUM(H14:H47)</f>
        <v>1394801</v>
      </c>
      <c r="I48" s="55">
        <f>SUM(I14:I47)</f>
        <v>14699800</v>
      </c>
      <c r="J48" s="54"/>
      <c r="K48" s="56">
        <f>SUM(K14:K47)</f>
        <v>-2357084</v>
      </c>
      <c r="L48" s="55">
        <f>SUM(L14:L47)</f>
        <v>12938789</v>
      </c>
      <c r="M48" s="54"/>
      <c r="N48" s="213"/>
      <c r="O48" s="213"/>
      <c r="P48" s="213"/>
      <c r="Q48" s="213"/>
      <c r="R48" s="56">
        <v>-2357084</v>
      </c>
      <c r="S48" s="255">
        <v>12938789</v>
      </c>
    </row>
    <row r="49" spans="1:19" s="2" customFormat="1" ht="24.95" customHeight="1" x14ac:dyDescent="0.4">
      <c r="A49" s="36"/>
      <c r="C49" s="7"/>
      <c r="D49" s="64" t="s">
        <v>56</v>
      </c>
      <c r="E49" s="70"/>
      <c r="F49" s="40"/>
      <c r="G49" s="238"/>
      <c r="H49" s="71"/>
      <c r="I49" s="70"/>
      <c r="J49" s="69"/>
      <c r="K49" s="41"/>
      <c r="L49" s="70"/>
      <c r="M49" s="69"/>
      <c r="N49" s="214"/>
      <c r="O49" s="214"/>
      <c r="P49" s="214"/>
      <c r="Q49" s="214"/>
      <c r="R49" s="41"/>
      <c r="S49" s="256"/>
    </row>
    <row r="50" spans="1:19" s="2" customFormat="1" ht="24.95" customHeight="1" x14ac:dyDescent="0.35">
      <c r="A50" s="36" t="s">
        <v>53</v>
      </c>
      <c r="B50" s="68" t="s">
        <v>55</v>
      </c>
      <c r="C50" s="7"/>
      <c r="D50" s="67" t="s">
        <v>54</v>
      </c>
      <c r="E50" s="38">
        <v>46760</v>
      </c>
      <c r="F50" s="42"/>
      <c r="G50" s="41">
        <v>-3094</v>
      </c>
      <c r="H50" s="37">
        <v>0</v>
      </c>
      <c r="I50" s="38">
        <f>E50+G50</f>
        <v>43666</v>
      </c>
      <c r="J50" s="42"/>
      <c r="K50" s="41">
        <v>-4841</v>
      </c>
      <c r="L50" s="38">
        <f>E50+K50</f>
        <v>41919</v>
      </c>
      <c r="M50" s="42"/>
      <c r="N50" s="211"/>
      <c r="O50" s="211"/>
      <c r="P50" s="211"/>
      <c r="Q50" s="211"/>
      <c r="R50" s="41">
        <v>-4841</v>
      </c>
      <c r="S50" s="252">
        <v>41919</v>
      </c>
    </row>
    <row r="51" spans="1:19" s="2" customFormat="1" ht="24.95" customHeight="1" x14ac:dyDescent="0.35">
      <c r="A51" s="36" t="s">
        <v>52</v>
      </c>
      <c r="B51" s="2" t="s">
        <v>43</v>
      </c>
      <c r="C51" s="7"/>
      <c r="D51" s="67" t="s">
        <v>51</v>
      </c>
      <c r="E51" s="38">
        <v>89134</v>
      </c>
      <c r="F51" s="42"/>
      <c r="G51" s="41">
        <v>-5898</v>
      </c>
      <c r="H51" s="37">
        <v>0</v>
      </c>
      <c r="I51" s="38">
        <f>E51+G51</f>
        <v>83236</v>
      </c>
      <c r="J51" s="42"/>
      <c r="K51" s="41">
        <v>-9227</v>
      </c>
      <c r="L51" s="38">
        <f>E51+K51</f>
        <v>79907</v>
      </c>
      <c r="M51" s="42"/>
      <c r="N51" s="211"/>
      <c r="O51" s="211"/>
      <c r="P51" s="211"/>
      <c r="Q51" s="211"/>
      <c r="R51" s="41">
        <v>-9227</v>
      </c>
      <c r="S51" s="252">
        <v>79907</v>
      </c>
    </row>
    <row r="52" spans="1:19" s="2" customFormat="1" ht="18" hidden="1" customHeight="1" x14ac:dyDescent="0.35">
      <c r="A52" s="36"/>
      <c r="C52" s="7"/>
      <c r="D52" s="221"/>
      <c r="E52" s="222"/>
      <c r="F52" s="46"/>
      <c r="G52" s="48"/>
      <c r="H52" s="47"/>
      <c r="I52" s="222"/>
      <c r="J52" s="46"/>
      <c r="K52" s="48"/>
      <c r="L52" s="222"/>
      <c r="M52" s="46"/>
      <c r="N52" s="13"/>
      <c r="O52" s="13"/>
      <c r="P52" s="13"/>
      <c r="Q52" s="13"/>
      <c r="R52" s="48"/>
      <c r="S52" s="254"/>
    </row>
    <row r="53" spans="1:19" s="2" customFormat="1" ht="24.95" customHeight="1" x14ac:dyDescent="0.4">
      <c r="A53" s="36"/>
      <c r="C53" s="7"/>
      <c r="D53" s="66" t="s">
        <v>50</v>
      </c>
      <c r="E53" s="38"/>
      <c r="F53" s="42"/>
      <c r="G53" s="41"/>
      <c r="H53" s="37"/>
      <c r="I53" s="38"/>
      <c r="J53" s="42"/>
      <c r="K53" s="41"/>
      <c r="L53" s="38"/>
      <c r="M53" s="42"/>
      <c r="N53" s="211"/>
      <c r="O53" s="211"/>
      <c r="P53" s="211"/>
      <c r="Q53" s="211"/>
      <c r="R53" s="41"/>
      <c r="S53" s="252"/>
    </row>
    <row r="54" spans="1:19" s="2" customFormat="1" ht="24.95" customHeight="1" x14ac:dyDescent="0.35">
      <c r="A54" s="36" t="s">
        <v>49</v>
      </c>
      <c r="B54" s="2" t="s">
        <v>43</v>
      </c>
      <c r="C54" s="7"/>
      <c r="D54" s="65" t="s">
        <v>48</v>
      </c>
      <c r="E54" s="38">
        <v>42006</v>
      </c>
      <c r="F54" s="42"/>
      <c r="G54" s="41">
        <v>-2779</v>
      </c>
      <c r="H54" s="37">
        <v>406</v>
      </c>
      <c r="I54" s="38">
        <f>E54+G54</f>
        <v>39227</v>
      </c>
      <c r="J54" s="42"/>
      <c r="K54" s="41">
        <v>-4738</v>
      </c>
      <c r="L54" s="38">
        <f>E54+K54</f>
        <v>37268</v>
      </c>
      <c r="M54" s="42"/>
      <c r="N54" s="211"/>
      <c r="O54" s="211"/>
      <c r="P54" s="211"/>
      <c r="Q54" s="211"/>
      <c r="R54" s="41">
        <v>-4738</v>
      </c>
      <c r="S54" s="252">
        <v>37268</v>
      </c>
    </row>
    <row r="55" spans="1:19" s="2" customFormat="1" ht="24.95" customHeight="1" x14ac:dyDescent="0.35">
      <c r="A55" s="36" t="s">
        <v>47</v>
      </c>
      <c r="B55" s="2" t="s">
        <v>43</v>
      </c>
      <c r="C55" s="7"/>
      <c r="D55" s="65" t="s">
        <v>46</v>
      </c>
      <c r="E55" s="38">
        <v>850000</v>
      </c>
      <c r="F55" s="42"/>
      <c r="G55" s="41">
        <v>-68080</v>
      </c>
      <c r="H55" s="37">
        <v>-3635</v>
      </c>
      <c r="I55" s="38">
        <f>E55+G55</f>
        <v>781920</v>
      </c>
      <c r="J55" s="42"/>
      <c r="K55" s="41">
        <v>-95867</v>
      </c>
      <c r="L55" s="38">
        <f>E55+K55</f>
        <v>754133</v>
      </c>
      <c r="M55" s="42"/>
      <c r="N55" s="211"/>
      <c r="O55" s="211"/>
      <c r="P55" s="211"/>
      <c r="Q55" s="211"/>
      <c r="R55" s="41">
        <v>-95867</v>
      </c>
      <c r="S55" s="252">
        <v>754133</v>
      </c>
    </row>
    <row r="56" spans="1:19" s="2" customFormat="1" ht="24.95" customHeight="1" x14ac:dyDescent="0.35">
      <c r="A56" s="36" t="s">
        <v>44</v>
      </c>
      <c r="B56" s="2" t="s">
        <v>43</v>
      </c>
      <c r="C56" s="7"/>
      <c r="D56" s="65" t="s">
        <v>42</v>
      </c>
      <c r="E56" s="38">
        <v>300950</v>
      </c>
      <c r="F56" s="42"/>
      <c r="G56" s="41">
        <v>-24076</v>
      </c>
      <c r="H56" s="37">
        <v>8428</v>
      </c>
      <c r="I56" s="38">
        <f>E56+G56</f>
        <v>276874</v>
      </c>
      <c r="J56" s="42"/>
      <c r="K56" s="41">
        <v>-37873</v>
      </c>
      <c r="L56" s="38">
        <f>E56+K56</f>
        <v>263077</v>
      </c>
      <c r="M56" s="42"/>
      <c r="N56" s="211"/>
      <c r="O56" s="211"/>
      <c r="P56" s="211"/>
      <c r="Q56" s="211"/>
      <c r="R56" s="41">
        <v>-37873</v>
      </c>
      <c r="S56" s="252">
        <v>263077</v>
      </c>
    </row>
    <row r="57" spans="1:19" s="2" customFormat="1" ht="24.95" customHeight="1" x14ac:dyDescent="0.4">
      <c r="A57" s="36"/>
      <c r="C57" s="7"/>
      <c r="D57" s="64" t="s">
        <v>37</v>
      </c>
      <c r="E57" s="38"/>
      <c r="F57" s="40"/>
      <c r="G57" s="41"/>
      <c r="H57" s="37"/>
      <c r="I57" s="38"/>
      <c r="J57" s="40"/>
      <c r="K57" s="41"/>
      <c r="L57" s="38"/>
      <c r="M57" s="40"/>
      <c r="N57" s="214"/>
      <c r="O57" s="214"/>
      <c r="P57" s="214"/>
      <c r="Q57" s="214"/>
      <c r="R57" s="41"/>
      <c r="S57" s="252"/>
    </row>
    <row r="58" spans="1:19" s="2" customFormat="1" ht="24.95" customHeight="1" x14ac:dyDescent="0.35">
      <c r="A58" s="36" t="s">
        <v>36</v>
      </c>
      <c r="B58" s="63" t="s">
        <v>33</v>
      </c>
      <c r="C58" s="7"/>
      <c r="D58" s="43" t="s">
        <v>35</v>
      </c>
      <c r="E58" s="38">
        <v>2352180</v>
      </c>
      <c r="F58" s="42"/>
      <c r="G58" s="41">
        <v>0</v>
      </c>
      <c r="H58" s="37">
        <v>0</v>
      </c>
      <c r="I58" s="38">
        <f>E58+G58</f>
        <v>2352180</v>
      </c>
      <c r="J58" s="42"/>
      <c r="K58" s="41">
        <v>35025</v>
      </c>
      <c r="L58" s="38">
        <f>E58+K58</f>
        <v>2387205</v>
      </c>
      <c r="M58" s="42"/>
      <c r="N58" s="211"/>
      <c r="O58" s="211"/>
      <c r="P58" s="211"/>
      <c r="Q58" s="211"/>
      <c r="R58" s="41">
        <v>35025</v>
      </c>
      <c r="S58" s="252">
        <v>2387205</v>
      </c>
    </row>
    <row r="59" spans="1:19" s="2" customFormat="1" ht="24.95" customHeight="1" x14ac:dyDescent="0.35">
      <c r="A59" s="36" t="s">
        <v>34</v>
      </c>
      <c r="B59" s="63" t="s">
        <v>33</v>
      </c>
      <c r="C59" s="7"/>
      <c r="D59" s="35" t="s">
        <v>32</v>
      </c>
      <c r="E59" s="33">
        <v>17279317</v>
      </c>
      <c r="F59" s="32"/>
      <c r="G59" s="34">
        <f>ROUND(E59*$G$8,0)</f>
        <v>0</v>
      </c>
      <c r="H59" s="30">
        <v>0</v>
      </c>
      <c r="I59" s="33">
        <f>E59+G59</f>
        <v>17279317</v>
      </c>
      <c r="J59" s="32"/>
      <c r="K59" s="34">
        <v>-262009</v>
      </c>
      <c r="L59" s="33">
        <f>E59+K59</f>
        <v>17017308</v>
      </c>
      <c r="M59" s="32"/>
      <c r="N59" s="215"/>
      <c r="O59" s="215"/>
      <c r="P59" s="215"/>
      <c r="Q59" s="215"/>
      <c r="R59" s="34">
        <v>-262009</v>
      </c>
      <c r="S59" s="257">
        <v>17017308</v>
      </c>
    </row>
    <row r="60" spans="1:19" s="2" customFormat="1" ht="24.95" customHeight="1" x14ac:dyDescent="0.4">
      <c r="A60" s="36"/>
      <c r="C60" s="7"/>
      <c r="D60" s="61" t="s">
        <v>27</v>
      </c>
      <c r="E60" s="60">
        <f>SUM(E50:E59)</f>
        <v>20960347</v>
      </c>
      <c r="F60" s="23"/>
      <c r="G60" s="56">
        <f>SUM(G50:G59)</f>
        <v>-103927</v>
      </c>
      <c r="H60" s="59">
        <f>SUM(H50:H59)</f>
        <v>5199</v>
      </c>
      <c r="I60" s="60">
        <f>SUM(I50:I59)</f>
        <v>20856420</v>
      </c>
      <c r="J60" s="23"/>
      <c r="K60" s="24">
        <f>SUM(K50:K59)</f>
        <v>-379530</v>
      </c>
      <c r="L60" s="227">
        <f>SUM(L50:L59)</f>
        <v>20580817</v>
      </c>
      <c r="M60" s="23"/>
      <c r="N60" s="173"/>
      <c r="O60" s="173"/>
      <c r="P60" s="173"/>
      <c r="Q60" s="173"/>
      <c r="R60" s="24">
        <v>-379530</v>
      </c>
      <c r="S60" s="258">
        <v>20580817</v>
      </c>
    </row>
    <row r="61" spans="1:19" s="51" customFormat="1" ht="24.95" customHeight="1" x14ac:dyDescent="0.4">
      <c r="A61" s="58"/>
      <c r="C61" s="28"/>
      <c r="D61" s="57" t="s">
        <v>26</v>
      </c>
      <c r="E61" s="55">
        <f>E48+E60</f>
        <v>36256220</v>
      </c>
      <c r="F61" s="54"/>
      <c r="G61" s="56">
        <f>G48+G60</f>
        <v>-700000</v>
      </c>
      <c r="H61" s="53">
        <f>H48+H60</f>
        <v>1400000</v>
      </c>
      <c r="I61" s="55">
        <f>I48+I60</f>
        <v>35556220</v>
      </c>
      <c r="J61" s="54"/>
      <c r="K61" s="56">
        <f>K48+K60</f>
        <v>-2736614</v>
      </c>
      <c r="L61" s="228">
        <f>L48+L60</f>
        <v>33519606</v>
      </c>
      <c r="M61" s="54"/>
      <c r="N61" s="213"/>
      <c r="O61" s="213"/>
      <c r="P61" s="213"/>
      <c r="Q61" s="213"/>
      <c r="R61" s="56">
        <v>-2736614</v>
      </c>
      <c r="S61" s="259">
        <v>33519606</v>
      </c>
    </row>
    <row r="62" spans="1:19" s="2" customFormat="1" ht="24.95" customHeight="1" x14ac:dyDescent="0.4">
      <c r="A62" s="36"/>
      <c r="C62" s="7"/>
      <c r="D62" s="50" t="s">
        <v>25</v>
      </c>
      <c r="E62" s="49"/>
      <c r="F62" s="46"/>
      <c r="G62" s="238"/>
      <c r="H62" s="47"/>
      <c r="I62" s="49"/>
      <c r="J62" s="46"/>
      <c r="K62" s="48"/>
      <c r="L62" s="49"/>
      <c r="M62" s="46"/>
      <c r="N62" s="13"/>
      <c r="O62" s="13"/>
      <c r="P62" s="13"/>
      <c r="Q62" s="13"/>
      <c r="R62" s="48"/>
      <c r="S62" s="260"/>
    </row>
    <row r="63" spans="1:19" s="2" customFormat="1" ht="24.95" hidden="1" customHeight="1" x14ac:dyDescent="0.35">
      <c r="A63" s="36"/>
      <c r="C63" s="7"/>
      <c r="D63" s="44" t="s">
        <v>120</v>
      </c>
      <c r="E63" s="38"/>
      <c r="F63" s="46"/>
      <c r="G63" s="41"/>
      <c r="H63" s="37"/>
      <c r="I63" s="38"/>
      <c r="J63" s="42"/>
      <c r="K63" s="39"/>
      <c r="L63" s="38"/>
      <c r="M63" s="42"/>
      <c r="N63" s="223"/>
      <c r="O63" s="223"/>
      <c r="P63" s="223"/>
      <c r="Q63" s="223"/>
      <c r="R63" s="39"/>
      <c r="S63" s="252"/>
    </row>
    <row r="64" spans="1:19" s="2" customFormat="1" ht="24.95" hidden="1" customHeight="1" x14ac:dyDescent="0.35">
      <c r="A64" s="36"/>
      <c r="C64" s="7"/>
      <c r="D64" s="44" t="s">
        <v>135</v>
      </c>
      <c r="E64" s="38"/>
      <c r="F64" s="46"/>
      <c r="G64" s="41"/>
      <c r="H64" s="37"/>
      <c r="I64" s="38"/>
      <c r="J64" s="42"/>
      <c r="K64" s="39"/>
      <c r="L64" s="38"/>
      <c r="M64" s="42"/>
      <c r="N64" s="223"/>
      <c r="O64" s="223"/>
      <c r="P64" s="223"/>
      <c r="Q64" s="223"/>
      <c r="R64" s="39"/>
      <c r="S64" s="252"/>
    </row>
    <row r="65" spans="1:19" s="2" customFormat="1" ht="24.95" hidden="1" customHeight="1" x14ac:dyDescent="0.35">
      <c r="A65" s="36"/>
      <c r="C65" s="7"/>
      <c r="D65" s="44" t="s">
        <v>211</v>
      </c>
      <c r="E65" s="38"/>
      <c r="F65" s="46"/>
      <c r="G65" s="41"/>
      <c r="H65" s="37"/>
      <c r="I65" s="38"/>
      <c r="J65" s="42"/>
      <c r="K65" s="39"/>
      <c r="L65" s="38"/>
      <c r="M65" s="42"/>
      <c r="N65" s="223"/>
      <c r="O65" s="223"/>
      <c r="P65" s="223"/>
      <c r="Q65" s="223"/>
      <c r="R65" s="39"/>
      <c r="S65" s="252"/>
    </row>
    <row r="66" spans="1:19" s="2" customFormat="1" ht="24.95" hidden="1" customHeight="1" x14ac:dyDescent="0.35">
      <c r="A66" s="36"/>
      <c r="C66" s="7"/>
      <c r="D66" s="44" t="s">
        <v>104</v>
      </c>
      <c r="E66" s="38"/>
      <c r="F66" s="46"/>
      <c r="G66" s="41"/>
      <c r="H66" s="37"/>
      <c r="I66" s="38"/>
      <c r="J66" s="42"/>
      <c r="K66" s="39"/>
      <c r="L66" s="38"/>
      <c r="M66" s="42"/>
      <c r="N66" s="223"/>
      <c r="O66" s="223"/>
      <c r="P66" s="223"/>
      <c r="Q66" s="223"/>
      <c r="R66" s="39"/>
      <c r="S66" s="252"/>
    </row>
    <row r="67" spans="1:19" s="2" customFormat="1" ht="24.95" hidden="1" customHeight="1" x14ac:dyDescent="0.35">
      <c r="A67" s="36"/>
      <c r="C67" s="7"/>
      <c r="D67" s="44" t="s">
        <v>16</v>
      </c>
      <c r="E67" s="38"/>
      <c r="F67" s="42"/>
      <c r="G67" s="41"/>
      <c r="H67" s="37"/>
      <c r="I67" s="38"/>
      <c r="J67" s="40"/>
      <c r="K67" s="39"/>
      <c r="L67" s="38"/>
      <c r="M67" s="40"/>
      <c r="N67" s="224"/>
      <c r="O67" s="224"/>
      <c r="P67" s="224"/>
      <c r="Q67" s="224"/>
      <c r="R67" s="39"/>
      <c r="S67" s="252"/>
    </row>
    <row r="68" spans="1:19" s="2" customFormat="1" ht="24.95" customHeight="1" x14ac:dyDescent="0.35">
      <c r="A68" s="36"/>
      <c r="C68" s="7"/>
      <c r="D68" s="44" t="s">
        <v>24</v>
      </c>
      <c r="E68" s="38">
        <v>5000</v>
      </c>
      <c r="F68" s="46"/>
      <c r="G68" s="41">
        <v>0</v>
      </c>
      <c r="H68" s="37">
        <v>0</v>
      </c>
      <c r="I68" s="38">
        <f>E68</f>
        <v>5000</v>
      </c>
      <c r="J68" s="42"/>
      <c r="K68" s="39">
        <v>15000</v>
      </c>
      <c r="L68" s="38">
        <f>E68+K68</f>
        <v>20000</v>
      </c>
      <c r="M68" s="42"/>
      <c r="N68" s="211"/>
      <c r="O68" s="211"/>
      <c r="P68" s="211"/>
      <c r="Q68" s="211"/>
      <c r="R68" s="39">
        <v>15000</v>
      </c>
      <c r="S68" s="252">
        <v>20000</v>
      </c>
    </row>
    <row r="69" spans="1:19" s="2" customFormat="1" ht="24.95" hidden="1" customHeight="1" x14ac:dyDescent="0.35">
      <c r="A69" s="36"/>
      <c r="C69" s="7"/>
      <c r="D69" s="44" t="s">
        <v>23</v>
      </c>
      <c r="E69" s="38"/>
      <c r="F69" s="42"/>
      <c r="G69" s="41"/>
      <c r="H69" s="37"/>
      <c r="I69" s="38"/>
      <c r="J69" s="42"/>
      <c r="K69" s="39"/>
      <c r="L69" s="38"/>
      <c r="M69" s="42"/>
      <c r="N69" s="223"/>
      <c r="O69" s="223"/>
      <c r="P69" s="223"/>
      <c r="Q69" s="223"/>
      <c r="R69" s="39"/>
      <c r="S69" s="252"/>
    </row>
    <row r="70" spans="1:19" s="2" customFormat="1" ht="24.95" customHeight="1" x14ac:dyDescent="0.35">
      <c r="A70" s="36"/>
      <c r="C70" s="7"/>
      <c r="D70" s="45" t="s">
        <v>19</v>
      </c>
      <c r="E70" s="38">
        <v>41750</v>
      </c>
      <c r="F70" s="42"/>
      <c r="G70" s="41">
        <v>0</v>
      </c>
      <c r="H70" s="37">
        <v>0</v>
      </c>
      <c r="I70" s="38">
        <f>E70</f>
        <v>41750</v>
      </c>
      <c r="J70" s="42"/>
      <c r="K70" s="41">
        <v>-3750</v>
      </c>
      <c r="L70" s="38">
        <f>E70+K70</f>
        <v>38000</v>
      </c>
      <c r="M70" s="42"/>
      <c r="N70" s="211"/>
      <c r="O70" s="211"/>
      <c r="P70" s="211"/>
      <c r="Q70" s="211"/>
      <c r="R70" s="41">
        <v>-3750</v>
      </c>
      <c r="S70" s="252">
        <v>38000</v>
      </c>
    </row>
    <row r="71" spans="1:19" s="2" customFormat="1" ht="24.95" customHeight="1" x14ac:dyDescent="0.35">
      <c r="A71" s="36"/>
      <c r="C71" s="7"/>
      <c r="D71" s="44" t="s">
        <v>201</v>
      </c>
      <c r="E71" s="38">
        <v>25000</v>
      </c>
      <c r="F71" s="46"/>
      <c r="G71" s="41">
        <v>0</v>
      </c>
      <c r="H71" s="37">
        <v>0</v>
      </c>
      <c r="I71" s="38">
        <f>E71</f>
        <v>25000</v>
      </c>
      <c r="J71" s="42"/>
      <c r="K71" s="41">
        <v>-10000</v>
      </c>
      <c r="L71" s="38">
        <f>E71+K71</f>
        <v>15000</v>
      </c>
      <c r="M71" s="42"/>
      <c r="N71" s="211"/>
      <c r="O71" s="211"/>
      <c r="P71" s="211"/>
      <c r="Q71" s="211"/>
      <c r="R71" s="41">
        <v>-10000</v>
      </c>
      <c r="S71" s="252">
        <v>15000</v>
      </c>
    </row>
    <row r="72" spans="1:19" s="2" customFormat="1" ht="24.95" hidden="1" customHeight="1" x14ac:dyDescent="0.35">
      <c r="A72" s="36"/>
      <c r="C72" s="7"/>
      <c r="D72" s="43" t="s">
        <v>11</v>
      </c>
      <c r="E72" s="38"/>
      <c r="F72" s="42"/>
      <c r="G72" s="41"/>
      <c r="H72" s="37"/>
      <c r="I72" s="38"/>
      <c r="J72" s="42"/>
      <c r="K72" s="39"/>
      <c r="L72" s="38"/>
      <c r="M72" s="42"/>
      <c r="N72" s="211"/>
      <c r="O72" s="211"/>
      <c r="P72" s="211"/>
      <c r="Q72" s="211"/>
      <c r="R72" s="39"/>
      <c r="S72" s="252"/>
    </row>
    <row r="73" spans="1:19" s="2" customFormat="1" ht="24.95" customHeight="1" x14ac:dyDescent="0.35">
      <c r="A73" s="36"/>
      <c r="C73" s="7"/>
      <c r="D73" s="43" t="s">
        <v>128</v>
      </c>
      <c r="E73" s="38">
        <v>0</v>
      </c>
      <c r="F73" s="42"/>
      <c r="G73" s="41">
        <v>0</v>
      </c>
      <c r="H73" s="37">
        <v>0</v>
      </c>
      <c r="I73" s="38">
        <v>0</v>
      </c>
      <c r="J73" s="40"/>
      <c r="K73" s="39">
        <v>12200</v>
      </c>
      <c r="L73" s="38">
        <f>K73</f>
        <v>12200</v>
      </c>
      <c r="M73" s="40"/>
      <c r="N73" s="214"/>
      <c r="O73" s="214"/>
      <c r="P73" s="214"/>
      <c r="Q73" s="214"/>
      <c r="R73" s="39">
        <v>12200</v>
      </c>
      <c r="S73" s="252">
        <v>12200</v>
      </c>
    </row>
    <row r="74" spans="1:19" s="2" customFormat="1" ht="24.95" customHeight="1" x14ac:dyDescent="0.35">
      <c r="A74" s="36"/>
      <c r="C74" s="7"/>
      <c r="D74" s="35" t="s">
        <v>216</v>
      </c>
      <c r="E74" s="233">
        <v>0</v>
      </c>
      <c r="F74" s="32">
        <v>0</v>
      </c>
      <c r="G74" s="34">
        <v>0</v>
      </c>
      <c r="H74" s="30">
        <v>0</v>
      </c>
      <c r="I74" s="233">
        <v>0</v>
      </c>
      <c r="J74" s="32"/>
      <c r="K74" s="31">
        <f>L74</f>
        <v>35000</v>
      </c>
      <c r="L74" s="33">
        <v>35000</v>
      </c>
      <c r="M74" s="32"/>
      <c r="N74" s="215"/>
      <c r="O74" s="215"/>
      <c r="P74" s="215"/>
      <c r="Q74" s="215"/>
      <c r="R74" s="31">
        <v>35000</v>
      </c>
      <c r="S74" s="257">
        <v>35000</v>
      </c>
    </row>
    <row r="75" spans="1:19" s="22" customFormat="1" ht="24.95" customHeight="1" x14ac:dyDescent="0.4">
      <c r="A75" s="29"/>
      <c r="C75" s="28"/>
      <c r="D75" s="57" t="s">
        <v>1</v>
      </c>
      <c r="E75" s="235">
        <f>SUM(E65:E74)</f>
        <v>71750</v>
      </c>
      <c r="F75" s="229">
        <f t="shared" ref="F75:Q75" si="6">SUM(F65:F74)</f>
        <v>0</v>
      </c>
      <c r="G75" s="25">
        <f>SUM(G65:G74)</f>
        <v>0</v>
      </c>
      <c r="H75" s="232">
        <f t="shared" si="6"/>
        <v>0</v>
      </c>
      <c r="I75" s="232">
        <f t="shared" si="6"/>
        <v>71750</v>
      </c>
      <c r="J75" s="229">
        <f t="shared" si="6"/>
        <v>0</v>
      </c>
      <c r="K75" s="230">
        <f>SUM(K65:K74)</f>
        <v>48450</v>
      </c>
      <c r="L75" s="231">
        <f>SUM(L65:L74)</f>
        <v>120200</v>
      </c>
      <c r="M75" s="229">
        <f t="shared" si="6"/>
        <v>0</v>
      </c>
      <c r="N75" s="25">
        <f>SUM(N65:N74)</f>
        <v>0</v>
      </c>
      <c r="O75" s="25">
        <f t="shared" si="6"/>
        <v>0</v>
      </c>
      <c r="P75" s="25">
        <f t="shared" si="6"/>
        <v>0</v>
      </c>
      <c r="Q75" s="25">
        <f t="shared" si="6"/>
        <v>0</v>
      </c>
      <c r="R75" s="230">
        <v>48450</v>
      </c>
      <c r="S75" s="261">
        <v>120200</v>
      </c>
    </row>
    <row r="76" spans="1:19" ht="24.95" customHeight="1" thickBot="1" x14ac:dyDescent="0.45">
      <c r="C76" s="7"/>
      <c r="D76" s="21" t="s">
        <v>0</v>
      </c>
      <c r="E76" s="234">
        <f>E61+E75</f>
        <v>36327970</v>
      </c>
      <c r="F76" s="17"/>
      <c r="G76" s="19">
        <f>G61+G75</f>
        <v>-700000</v>
      </c>
      <c r="H76" s="263">
        <f>H61+H75</f>
        <v>1400000</v>
      </c>
      <c r="I76" s="18">
        <f>I61+I75</f>
        <v>35627970</v>
      </c>
      <c r="J76" s="17"/>
      <c r="K76" s="19">
        <f>K61+K75</f>
        <v>-2688164</v>
      </c>
      <c r="L76" s="16">
        <f>L61+L75</f>
        <v>33639806</v>
      </c>
      <c r="M76" s="18">
        <f t="shared" ref="M76:Q76" si="7">M61+M75</f>
        <v>0</v>
      </c>
      <c r="N76" s="18">
        <f t="shared" si="7"/>
        <v>0</v>
      </c>
      <c r="O76" s="18">
        <f t="shared" si="7"/>
        <v>0</v>
      </c>
      <c r="P76" s="18">
        <f t="shared" si="7"/>
        <v>0</v>
      </c>
      <c r="Q76" s="18">
        <f t="shared" si="7"/>
        <v>0</v>
      </c>
      <c r="R76" s="19">
        <v>-2688164</v>
      </c>
      <c r="S76" s="262">
        <v>33639806</v>
      </c>
    </row>
    <row r="77" spans="1:19" s="9" customFormat="1" ht="15" customHeight="1" thickTop="1" x14ac:dyDescent="0.35">
      <c r="A77" s="15"/>
      <c r="C77" s="7"/>
      <c r="D77" s="12"/>
      <c r="E77" s="14"/>
      <c r="F77" s="12"/>
      <c r="G77" s="12"/>
      <c r="H77" s="12"/>
      <c r="I77" s="14"/>
      <c r="J77" s="13"/>
      <c r="K77" s="11"/>
      <c r="L77" s="6"/>
      <c r="M77" s="12"/>
      <c r="N77" s="12"/>
      <c r="O77" s="12"/>
      <c r="P77" s="12"/>
      <c r="Q77" s="12"/>
      <c r="R77" s="12"/>
      <c r="S77" s="11"/>
    </row>
  </sheetData>
  <mergeCells count="20">
    <mergeCell ref="D5:S5"/>
    <mergeCell ref="D6:S6"/>
    <mergeCell ref="D7:S7"/>
    <mergeCell ref="E9:J9"/>
    <mergeCell ref="K9:L9"/>
    <mergeCell ref="N9:O9"/>
    <mergeCell ref="P9:Q9"/>
    <mergeCell ref="R9:S9"/>
    <mergeCell ref="O11:O12"/>
    <mergeCell ref="Q11:Q12"/>
    <mergeCell ref="S11:S12"/>
    <mergeCell ref="E10:I10"/>
    <mergeCell ref="K10:M10"/>
    <mergeCell ref="N10:O10"/>
    <mergeCell ref="P10:Q10"/>
    <mergeCell ref="R10:S10"/>
    <mergeCell ref="E11:E12"/>
    <mergeCell ref="H11:H12"/>
    <mergeCell ref="I11:I12"/>
    <mergeCell ref="L11:M12"/>
  </mergeCells>
  <printOptions horizontalCentered="1"/>
  <pageMargins left="0" right="0" top="0.5" bottom="0.5" header="0.05" footer="0.05"/>
  <pageSetup scale="46" fitToHeight="2" orientation="landscape" r:id="rId1"/>
  <headerFooter>
    <oddFooter>&amp;L&amp;P</oddFooter>
  </headerFooter>
  <rowBreaks count="2" manualBreakCount="2">
    <brk id="48" max="16383" man="1"/>
    <brk id="77" min="3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U129"/>
  <sheetViews>
    <sheetView tabSelected="1" topLeftCell="D2" zoomScale="50" zoomScaleNormal="50" zoomScaleSheetLayoutView="20" workbookViewId="0">
      <pane ySplit="12" topLeftCell="A59" activePane="bottomLeft" state="frozen"/>
      <selection activeCell="D2" sqref="D2"/>
      <selection pane="bottomLeft" activeCell="L72" sqref="L72"/>
    </sheetView>
  </sheetViews>
  <sheetFormatPr defaultColWidth="9.140625" defaultRowHeight="21.75" x14ac:dyDescent="0.3"/>
  <cols>
    <col min="1" max="1" width="20.7109375" style="5" hidden="1" customWidth="1"/>
    <col min="2" max="2" width="22.28515625" style="1" hidden="1" customWidth="1"/>
    <col min="3" max="3" width="3.7109375" style="2" hidden="1" customWidth="1"/>
    <col min="4" max="4" width="83.42578125" style="1" customWidth="1"/>
    <col min="5" max="5" width="27" style="1" customWidth="1"/>
    <col min="6" max="6" width="31" style="1" customWidth="1"/>
    <col min="7" max="7" width="28.85546875" style="1" customWidth="1"/>
    <col min="8" max="8" width="31.28515625" style="1" customWidth="1"/>
    <col min="9" max="11" width="28.42578125" style="1" customWidth="1"/>
    <col min="12" max="12" width="24.28515625" style="1" customWidth="1"/>
    <col min="13" max="13" width="28.42578125" style="1" customWidth="1"/>
    <col min="14" max="14" width="28.7109375" style="1" customWidth="1"/>
    <col min="15" max="15" width="26.28515625" style="1" customWidth="1"/>
    <col min="16" max="16" width="22.7109375" style="1" customWidth="1"/>
    <col min="17" max="17" width="38" style="1" customWidth="1"/>
    <col min="18" max="18" width="35.42578125" style="1" customWidth="1"/>
    <col min="19" max="19" width="41.140625" style="1" customWidth="1"/>
    <col min="20" max="20" width="23.42578125" style="1" customWidth="1"/>
    <col min="21" max="16384" width="9.140625" style="1"/>
  </cols>
  <sheetData>
    <row r="1" spans="1:19" ht="14.25" customHeight="1" x14ac:dyDescent="0.3">
      <c r="D1" s="9"/>
    </row>
    <row r="2" spans="1:19" x14ac:dyDescent="0.3">
      <c r="D2" s="9"/>
    </row>
    <row r="3" spans="1:19" ht="36.75" customHeight="1" x14ac:dyDescent="0.3">
      <c r="D3" s="9"/>
    </row>
    <row r="4" spans="1:19" ht="12" customHeight="1" x14ac:dyDescent="0.3">
      <c r="D4" s="9"/>
    </row>
    <row r="5" spans="1:19" ht="26.1" customHeight="1" x14ac:dyDescent="0.3">
      <c r="B5" s="102"/>
      <c r="C5" s="101"/>
      <c r="D5" s="435" t="s">
        <v>182</v>
      </c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</row>
    <row r="6" spans="1:19" ht="26.1" customHeight="1" x14ac:dyDescent="0.3">
      <c r="B6" s="284"/>
      <c r="C6" s="99"/>
      <c r="D6" s="435" t="s">
        <v>181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</row>
    <row r="7" spans="1:19" ht="28.5" customHeight="1" x14ac:dyDescent="0.3">
      <c r="C7" s="102"/>
      <c r="D7" s="435" t="s">
        <v>279</v>
      </c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</row>
    <row r="8" spans="1:19" ht="25.5" customHeight="1" x14ac:dyDescent="0.3">
      <c r="B8" s="93"/>
      <c r="C8" s="98"/>
      <c r="D8" s="364"/>
      <c r="F8"/>
      <c r="G8"/>
      <c r="H8"/>
      <c r="I8"/>
      <c r="J8"/>
      <c r="K8"/>
      <c r="L8"/>
      <c r="M8"/>
      <c r="N8"/>
    </row>
    <row r="9" spans="1:19" ht="34.5" customHeight="1" x14ac:dyDescent="0.3">
      <c r="B9" s="93"/>
      <c r="C9" s="98"/>
      <c r="D9" s="207"/>
      <c r="E9" s="2"/>
      <c r="G9" s="376">
        <v>0.18360000000000001</v>
      </c>
    </row>
    <row r="10" spans="1:19" s="85" customFormat="1" ht="49.9" customHeight="1" x14ac:dyDescent="0.25">
      <c r="A10" s="88"/>
      <c r="C10" s="87"/>
      <c r="D10" s="285"/>
      <c r="E10" s="429" t="s">
        <v>233</v>
      </c>
      <c r="F10" s="444"/>
      <c r="G10" s="429" t="s">
        <v>233</v>
      </c>
      <c r="H10" s="444"/>
      <c r="I10" s="449" t="s">
        <v>276</v>
      </c>
      <c r="J10" s="450"/>
      <c r="K10" s="451"/>
      <c r="L10" s="466" t="s">
        <v>276</v>
      </c>
      <c r="M10" s="467"/>
      <c r="N10" s="468"/>
      <c r="O10" s="445" t="s">
        <v>171</v>
      </c>
      <c r="P10" s="447" t="s">
        <v>185</v>
      </c>
      <c r="Q10" s="445" t="s">
        <v>174</v>
      </c>
      <c r="R10" s="445" t="s">
        <v>173</v>
      </c>
      <c r="S10" s="445" t="s">
        <v>172</v>
      </c>
    </row>
    <row r="11" spans="1:19" s="85" customFormat="1" ht="54" customHeight="1" x14ac:dyDescent="0.25">
      <c r="A11" s="88"/>
      <c r="C11" s="87"/>
      <c r="D11" s="286" t="s">
        <v>178</v>
      </c>
      <c r="E11" s="458" t="s">
        <v>235</v>
      </c>
      <c r="F11" s="459"/>
      <c r="G11" s="456" t="s">
        <v>236</v>
      </c>
      <c r="H11" s="457"/>
      <c r="I11" s="452" t="s">
        <v>234</v>
      </c>
      <c r="J11" s="452"/>
      <c r="K11" s="453"/>
      <c r="L11" s="464" t="s">
        <v>312</v>
      </c>
      <c r="M11" s="464"/>
      <c r="N11" s="465"/>
      <c r="O11" s="446"/>
      <c r="P11" s="448"/>
      <c r="Q11" s="446"/>
      <c r="R11" s="446"/>
      <c r="S11" s="446"/>
    </row>
    <row r="12" spans="1:19" s="85" customFormat="1" ht="40.5" customHeight="1" x14ac:dyDescent="0.25">
      <c r="A12" s="88"/>
      <c r="C12" s="87"/>
      <c r="D12" s="287"/>
      <c r="E12" s="288" t="s">
        <v>175</v>
      </c>
      <c r="F12" s="288" t="s">
        <v>169</v>
      </c>
      <c r="G12" s="288" t="s">
        <v>175</v>
      </c>
      <c r="H12" s="288" t="s">
        <v>169</v>
      </c>
      <c r="I12" s="289" t="s">
        <v>175</v>
      </c>
      <c r="J12" s="454" t="s">
        <v>169</v>
      </c>
      <c r="K12" s="289" t="s">
        <v>225</v>
      </c>
      <c r="L12" s="406" t="s">
        <v>175</v>
      </c>
      <c r="M12" s="469" t="s">
        <v>169</v>
      </c>
      <c r="N12" s="406" t="s">
        <v>225</v>
      </c>
      <c r="O12" s="446"/>
      <c r="P12" s="448"/>
      <c r="Q12" s="446"/>
      <c r="R12" s="446"/>
      <c r="S12" s="446"/>
    </row>
    <row r="13" spans="1:19" s="85" customFormat="1" ht="76.5" customHeight="1" x14ac:dyDescent="0.25">
      <c r="A13" s="88" t="s">
        <v>171</v>
      </c>
      <c r="B13" s="85" t="s">
        <v>170</v>
      </c>
      <c r="C13" s="87"/>
      <c r="D13" s="290"/>
      <c r="E13" s="291" t="s">
        <v>168</v>
      </c>
      <c r="F13" s="291"/>
      <c r="G13" s="291" t="s">
        <v>168</v>
      </c>
      <c r="H13" s="291"/>
      <c r="I13" s="292" t="s">
        <v>168</v>
      </c>
      <c r="J13" s="455"/>
      <c r="K13" s="350" t="s">
        <v>292</v>
      </c>
      <c r="L13" s="407" t="s">
        <v>168</v>
      </c>
      <c r="M13" s="470"/>
      <c r="N13" s="408" t="s">
        <v>313</v>
      </c>
      <c r="O13" s="446"/>
      <c r="P13" s="448"/>
      <c r="Q13" s="446"/>
      <c r="R13" s="446"/>
      <c r="S13" s="446"/>
    </row>
    <row r="14" spans="1:19" s="2" customFormat="1" ht="24.75" customHeight="1" x14ac:dyDescent="0.4">
      <c r="A14" s="36"/>
      <c r="C14" s="7"/>
      <c r="D14" s="293" t="s">
        <v>167</v>
      </c>
      <c r="E14" s="295"/>
      <c r="F14" s="295"/>
      <c r="G14" s="14"/>
      <c r="H14" s="296"/>
      <c r="I14" s="294"/>
      <c r="J14" s="294"/>
      <c r="K14" s="294"/>
      <c r="L14" s="14"/>
      <c r="M14" s="14"/>
      <c r="N14" s="14"/>
      <c r="Q14" s="264"/>
      <c r="R14" s="266"/>
    </row>
    <row r="15" spans="1:19" s="2" customFormat="1" ht="24.75" customHeight="1" x14ac:dyDescent="0.35">
      <c r="A15" s="36" t="s">
        <v>166</v>
      </c>
      <c r="B15" s="2" t="s">
        <v>43</v>
      </c>
      <c r="C15" s="7"/>
      <c r="D15" s="399" t="s">
        <v>165</v>
      </c>
      <c r="E15" s="400">
        <v>-3694</v>
      </c>
      <c r="F15" s="401">
        <v>70177</v>
      </c>
      <c r="G15" s="400">
        <f>(F15*$G$9*-1)+1</f>
        <v>-12883.497200000002</v>
      </c>
      <c r="H15" s="401">
        <f>ROUND((F15+G15),0)</f>
        <v>57294</v>
      </c>
      <c r="I15" s="401">
        <f>J15-F15</f>
        <v>-12883</v>
      </c>
      <c r="J15" s="401">
        <v>57294</v>
      </c>
      <c r="K15" s="402">
        <f>(J15-F15)/F15</f>
        <v>-0.18357866537469542</v>
      </c>
      <c r="L15" s="478">
        <v>0</v>
      </c>
      <c r="M15" s="401">
        <f>J15+L15</f>
        <v>57294</v>
      </c>
      <c r="N15" s="402">
        <f>(M15-J15)/J15</f>
        <v>0</v>
      </c>
      <c r="O15" s="273" t="s">
        <v>166</v>
      </c>
      <c r="P15" s="274" t="s">
        <v>31</v>
      </c>
      <c r="Q15" s="264" t="s">
        <v>217</v>
      </c>
      <c r="R15" s="266" t="s">
        <v>59</v>
      </c>
      <c r="S15" s="265"/>
    </row>
    <row r="16" spans="1:19" s="2" customFormat="1" ht="24.95" customHeight="1" x14ac:dyDescent="0.35">
      <c r="A16" s="36" t="s">
        <v>163</v>
      </c>
      <c r="B16" s="2" t="s">
        <v>43</v>
      </c>
      <c r="C16" s="7"/>
      <c r="D16" s="483" t="s">
        <v>162</v>
      </c>
      <c r="E16" s="484">
        <v>-4084</v>
      </c>
      <c r="F16" s="485">
        <v>77599</v>
      </c>
      <c r="G16" s="484">
        <f t="shared" ref="G16" si="0">(F16*$G$9*-1)+1</f>
        <v>-14246.1764</v>
      </c>
      <c r="H16" s="485">
        <f t="shared" ref="H16:H23" si="1">ROUND((F16+G16),0)</f>
        <v>63353</v>
      </c>
      <c r="I16" s="485">
        <f t="shared" ref="I16:I47" si="2">J16-F16</f>
        <v>-14246</v>
      </c>
      <c r="J16" s="485">
        <v>63353</v>
      </c>
      <c r="K16" s="486">
        <f>(J16-F16)/F16</f>
        <v>-0.18358484001082487</v>
      </c>
      <c r="L16" s="487">
        <v>0</v>
      </c>
      <c r="M16" s="485">
        <f t="shared" ref="M16:M46" si="3">J16+L16</f>
        <v>63353</v>
      </c>
      <c r="N16" s="486">
        <f>(M16-J16)/J16</f>
        <v>0</v>
      </c>
      <c r="O16" s="488" t="s">
        <v>163</v>
      </c>
      <c r="P16" s="489" t="s">
        <v>31</v>
      </c>
      <c r="Q16" s="490" t="s">
        <v>161</v>
      </c>
      <c r="R16" s="491" t="s">
        <v>59</v>
      </c>
      <c r="S16" s="492" t="s">
        <v>222</v>
      </c>
    </row>
    <row r="17" spans="1:20" s="2" customFormat="1" ht="24.95" customHeight="1" x14ac:dyDescent="0.35">
      <c r="A17" s="36"/>
      <c r="C17" s="7"/>
      <c r="D17" s="399" t="s">
        <v>277</v>
      </c>
      <c r="E17" s="400">
        <v>0</v>
      </c>
      <c r="F17" s="401"/>
      <c r="G17" s="400"/>
      <c r="H17" s="401">
        <v>0</v>
      </c>
      <c r="I17" s="401">
        <v>171680</v>
      </c>
      <c r="J17" s="401">
        <v>171680</v>
      </c>
      <c r="K17" s="402" t="s">
        <v>226</v>
      </c>
      <c r="L17" s="478">
        <v>-99030</v>
      </c>
      <c r="M17" s="401">
        <f t="shared" si="3"/>
        <v>72650</v>
      </c>
      <c r="N17" s="402">
        <f>(M17-J17)/J17</f>
        <v>-0.57682898415657036</v>
      </c>
      <c r="O17" s="273" t="s">
        <v>280</v>
      </c>
      <c r="P17" s="274" t="s">
        <v>31</v>
      </c>
      <c r="Q17" s="264" t="s">
        <v>281</v>
      </c>
      <c r="R17" s="266" t="s">
        <v>59</v>
      </c>
      <c r="S17" s="479" t="s">
        <v>282</v>
      </c>
    </row>
    <row r="18" spans="1:20" s="2" customFormat="1" ht="24.75" customHeight="1" x14ac:dyDescent="0.35">
      <c r="A18" s="36" t="s">
        <v>160</v>
      </c>
      <c r="B18" s="78" t="s">
        <v>159</v>
      </c>
      <c r="C18" s="7"/>
      <c r="D18" s="483" t="s">
        <v>158</v>
      </c>
      <c r="E18" s="484">
        <v>-285701</v>
      </c>
      <c r="F18" s="485">
        <v>3285556</v>
      </c>
      <c r="G18" s="484">
        <f>(F18*$G$9*-1)+49</f>
        <v>-603179.08160000003</v>
      </c>
      <c r="H18" s="485">
        <f t="shared" si="1"/>
        <v>2682377</v>
      </c>
      <c r="I18" s="485">
        <f t="shared" si="2"/>
        <v>285701</v>
      </c>
      <c r="J18" s="485">
        <f>3571257</f>
        <v>3571257</v>
      </c>
      <c r="K18" s="486">
        <f t="shared" ref="K18:K23" si="4">(J18-F18)/F18</f>
        <v>8.6956667303798807E-2</v>
      </c>
      <c r="L18" s="487">
        <v>-100000</v>
      </c>
      <c r="M18" s="485">
        <f t="shared" si="3"/>
        <v>3471257</v>
      </c>
      <c r="N18" s="486">
        <f>(M18-J18)/J18</f>
        <v>-2.8001345184622668E-2</v>
      </c>
      <c r="O18" s="488" t="s">
        <v>160</v>
      </c>
      <c r="P18" s="489" t="s">
        <v>31</v>
      </c>
      <c r="Q18" s="490" t="s">
        <v>157</v>
      </c>
      <c r="R18" s="491" t="s">
        <v>156</v>
      </c>
      <c r="S18" s="492" t="s">
        <v>237</v>
      </c>
    </row>
    <row r="19" spans="1:20" s="2" customFormat="1" ht="24.95" customHeight="1" x14ac:dyDescent="0.35">
      <c r="A19" s="36" t="s">
        <v>154</v>
      </c>
      <c r="B19" s="2" t="s">
        <v>43</v>
      </c>
      <c r="C19" s="7"/>
      <c r="D19" s="399" t="s">
        <v>153</v>
      </c>
      <c r="E19" s="400">
        <v>-4250</v>
      </c>
      <c r="F19" s="401">
        <v>24028</v>
      </c>
      <c r="G19" s="400">
        <f>(F19*$G$9*-1)+1</f>
        <v>-4410.5408000000007</v>
      </c>
      <c r="H19" s="401">
        <f t="shared" si="1"/>
        <v>19617</v>
      </c>
      <c r="I19" s="401">
        <f>J19-F19</f>
        <v>-14028</v>
      </c>
      <c r="J19" s="401">
        <v>10000</v>
      </c>
      <c r="K19" s="402">
        <f t="shared" si="4"/>
        <v>-0.58381887797569498</v>
      </c>
      <c r="L19" s="478">
        <v>0</v>
      </c>
      <c r="M19" s="401">
        <f t="shared" si="3"/>
        <v>10000</v>
      </c>
      <c r="N19" s="402">
        <f>(M19-J19)/J19</f>
        <v>0</v>
      </c>
      <c r="O19" s="275">
        <v>378011</v>
      </c>
      <c r="P19" s="274" t="s">
        <v>31</v>
      </c>
      <c r="Q19" s="480" t="s">
        <v>152</v>
      </c>
      <c r="R19" s="266" t="s">
        <v>59</v>
      </c>
      <c r="S19" s="265" t="s">
        <v>151</v>
      </c>
    </row>
    <row r="20" spans="1:20" s="2" customFormat="1" ht="24.95" customHeight="1" x14ac:dyDescent="0.35">
      <c r="A20" s="36" t="s">
        <v>149</v>
      </c>
      <c r="B20" s="2" t="s">
        <v>43</v>
      </c>
      <c r="C20" s="7"/>
      <c r="D20" s="483" t="s">
        <v>150</v>
      </c>
      <c r="E20" s="484">
        <v>-9000</v>
      </c>
      <c r="F20" s="485">
        <v>0</v>
      </c>
      <c r="G20" s="484">
        <f t="shared" ref="G20:G42" si="5">(F20*$G$9*-1)</f>
        <v>0</v>
      </c>
      <c r="H20" s="485">
        <f t="shared" si="1"/>
        <v>0</v>
      </c>
      <c r="I20" s="485">
        <f t="shared" si="2"/>
        <v>14251</v>
      </c>
      <c r="J20" s="485">
        <v>14251</v>
      </c>
      <c r="K20" s="486" t="s">
        <v>226</v>
      </c>
      <c r="L20" s="487">
        <v>0</v>
      </c>
      <c r="M20" s="485">
        <f t="shared" si="3"/>
        <v>14251</v>
      </c>
      <c r="N20" s="486">
        <f t="shared" ref="N20:N47" si="6">(M20-J20)/J20</f>
        <v>0</v>
      </c>
      <c r="O20" s="488" t="s">
        <v>149</v>
      </c>
      <c r="P20" s="489" t="s">
        <v>31</v>
      </c>
      <c r="Q20" s="490" t="s">
        <v>238</v>
      </c>
      <c r="R20" s="491" t="s">
        <v>218</v>
      </c>
      <c r="S20" s="492" t="s">
        <v>146</v>
      </c>
    </row>
    <row r="21" spans="1:20" s="2" customFormat="1" ht="24.75" customHeight="1" x14ac:dyDescent="0.35">
      <c r="A21" s="36" t="s">
        <v>122</v>
      </c>
      <c r="B21" s="76" t="s">
        <v>124</v>
      </c>
      <c r="C21" s="7"/>
      <c r="D21" s="399" t="s">
        <v>195</v>
      </c>
      <c r="E21" s="400">
        <v>-15024</v>
      </c>
      <c r="F21" s="401">
        <v>285447</v>
      </c>
      <c r="G21" s="400">
        <f>(F21*$G$9*-1)+4</f>
        <v>-52404.069200000005</v>
      </c>
      <c r="H21" s="401">
        <f t="shared" si="1"/>
        <v>233043</v>
      </c>
      <c r="I21" s="401">
        <v>0</v>
      </c>
      <c r="J21" s="401">
        <v>285447</v>
      </c>
      <c r="K21" s="402">
        <f t="shared" si="4"/>
        <v>0</v>
      </c>
      <c r="L21" s="478">
        <v>0</v>
      </c>
      <c r="M21" s="401">
        <f t="shared" si="3"/>
        <v>285447</v>
      </c>
      <c r="N21" s="402">
        <f t="shared" si="6"/>
        <v>0</v>
      </c>
      <c r="O21" s="275" t="s">
        <v>186</v>
      </c>
      <c r="P21" s="274" t="s">
        <v>31</v>
      </c>
      <c r="Q21" s="480" t="s">
        <v>121</v>
      </c>
      <c r="R21" s="266" t="s">
        <v>59</v>
      </c>
      <c r="S21" s="265" t="s">
        <v>145</v>
      </c>
    </row>
    <row r="22" spans="1:20" s="2" customFormat="1" ht="55.5" customHeight="1" x14ac:dyDescent="0.35">
      <c r="A22" s="36"/>
      <c r="B22" s="76"/>
      <c r="C22" s="7"/>
      <c r="D22" s="493" t="s">
        <v>283</v>
      </c>
      <c r="E22" s="484">
        <v>0</v>
      </c>
      <c r="F22" s="485">
        <v>0</v>
      </c>
      <c r="G22" s="484">
        <f t="shared" si="5"/>
        <v>0</v>
      </c>
      <c r="H22" s="485">
        <v>0</v>
      </c>
      <c r="I22" s="485">
        <f t="shared" si="2"/>
        <v>133238</v>
      </c>
      <c r="J22" s="485">
        <v>133238</v>
      </c>
      <c r="K22" s="486" t="s">
        <v>226</v>
      </c>
      <c r="L22" s="501">
        <v>-133238</v>
      </c>
      <c r="M22" s="485">
        <f t="shared" si="3"/>
        <v>0</v>
      </c>
      <c r="N22" s="486">
        <f t="shared" si="6"/>
        <v>-1</v>
      </c>
      <c r="O22" s="488" t="s">
        <v>284</v>
      </c>
      <c r="P22" s="489" t="s">
        <v>31</v>
      </c>
      <c r="Q22" s="490" t="s">
        <v>285</v>
      </c>
      <c r="R22" s="491" t="s">
        <v>59</v>
      </c>
      <c r="S22" s="492" t="s">
        <v>286</v>
      </c>
    </row>
    <row r="23" spans="1:20" s="2" customFormat="1" ht="25.5" x14ac:dyDescent="0.35">
      <c r="A23" s="36" t="s">
        <v>143</v>
      </c>
      <c r="B23" s="2" t="s">
        <v>43</v>
      </c>
      <c r="C23" s="7"/>
      <c r="D23" s="399" t="s">
        <v>239</v>
      </c>
      <c r="E23" s="400">
        <v>-1490</v>
      </c>
      <c r="F23" s="401">
        <v>28305</v>
      </c>
      <c r="G23" s="400">
        <f>(F23*$G$9*-1)+1</f>
        <v>-5195.7980000000007</v>
      </c>
      <c r="H23" s="401">
        <f t="shared" si="1"/>
        <v>23109</v>
      </c>
      <c r="I23" s="401">
        <f t="shared" si="2"/>
        <v>6695</v>
      </c>
      <c r="J23" s="401">
        <v>35000</v>
      </c>
      <c r="K23" s="402">
        <f t="shared" si="4"/>
        <v>0.23653064829535417</v>
      </c>
      <c r="L23" s="478">
        <v>0</v>
      </c>
      <c r="M23" s="401">
        <f t="shared" si="3"/>
        <v>35000</v>
      </c>
      <c r="N23" s="402">
        <f t="shared" si="6"/>
        <v>0</v>
      </c>
      <c r="O23" s="275" t="s">
        <v>143</v>
      </c>
      <c r="P23" s="274" t="s">
        <v>31</v>
      </c>
      <c r="Q23" s="480" t="s">
        <v>142</v>
      </c>
      <c r="R23" s="266" t="s">
        <v>138</v>
      </c>
      <c r="S23" s="265"/>
      <c r="T23" s="351"/>
    </row>
    <row r="24" spans="1:20" s="2" customFormat="1" ht="24.95" customHeight="1" x14ac:dyDescent="0.35">
      <c r="A24" s="36"/>
      <c r="C24" s="7"/>
      <c r="D24" s="483" t="s">
        <v>288</v>
      </c>
      <c r="E24" s="484">
        <v>0</v>
      </c>
      <c r="F24" s="485"/>
      <c r="G24" s="484">
        <f t="shared" si="5"/>
        <v>0</v>
      </c>
      <c r="H24" s="485">
        <v>0</v>
      </c>
      <c r="I24" s="485">
        <v>0</v>
      </c>
      <c r="J24" s="485">
        <v>60000</v>
      </c>
      <c r="K24" s="486" t="s">
        <v>226</v>
      </c>
      <c r="L24" s="487">
        <v>0</v>
      </c>
      <c r="M24" s="485">
        <f t="shared" si="3"/>
        <v>60000</v>
      </c>
      <c r="N24" s="486">
        <f t="shared" si="6"/>
        <v>0</v>
      </c>
      <c r="O24" s="488" t="s">
        <v>287</v>
      </c>
      <c r="P24" s="489" t="s">
        <v>31</v>
      </c>
      <c r="Q24" s="490" t="s">
        <v>139</v>
      </c>
      <c r="R24" s="491" t="s">
        <v>289</v>
      </c>
      <c r="S24" s="492" t="s">
        <v>281</v>
      </c>
      <c r="T24" s="351"/>
    </row>
    <row r="25" spans="1:20" s="2" customFormat="1" ht="24.95" customHeight="1" x14ac:dyDescent="0.35">
      <c r="A25" s="36" t="s">
        <v>140</v>
      </c>
      <c r="B25" s="2" t="s">
        <v>43</v>
      </c>
      <c r="C25" s="7"/>
      <c r="D25" s="399" t="s">
        <v>228</v>
      </c>
      <c r="E25" s="400">
        <v>-1000</v>
      </c>
      <c r="F25" s="401">
        <v>19000</v>
      </c>
      <c r="G25" s="400">
        <f t="shared" si="5"/>
        <v>-3488.4</v>
      </c>
      <c r="H25" s="401">
        <f>ROUND((F25+G25),0)</f>
        <v>15512</v>
      </c>
      <c r="I25" s="401">
        <f t="shared" si="2"/>
        <v>1000</v>
      </c>
      <c r="J25" s="401">
        <v>20000</v>
      </c>
      <c r="K25" s="402">
        <f>(J25-F25)/F25</f>
        <v>5.2631578947368418E-2</v>
      </c>
      <c r="L25" s="481">
        <v>0</v>
      </c>
      <c r="M25" s="401">
        <f t="shared" si="3"/>
        <v>20000</v>
      </c>
      <c r="N25" s="402">
        <f t="shared" si="6"/>
        <v>0</v>
      </c>
      <c r="O25" s="275" t="s">
        <v>140</v>
      </c>
      <c r="P25" s="274" t="s">
        <v>31</v>
      </c>
      <c r="Q25" s="480" t="s">
        <v>139</v>
      </c>
      <c r="R25" s="266" t="s">
        <v>138</v>
      </c>
      <c r="S25" s="265"/>
    </row>
    <row r="26" spans="1:20" s="2" customFormat="1" ht="24.95" customHeight="1" x14ac:dyDescent="0.35">
      <c r="A26" s="36"/>
      <c r="C26" s="7"/>
      <c r="D26" s="483" t="s">
        <v>240</v>
      </c>
      <c r="E26" s="484">
        <v>-7051</v>
      </c>
      <c r="F26" s="485">
        <v>88292</v>
      </c>
      <c r="G26" s="484">
        <f>(F26*$G$9*-1)+1</f>
        <v>-16209.4112</v>
      </c>
      <c r="H26" s="485">
        <f t="shared" ref="H26:H49" si="7">ROUND((F26+G26),0)</f>
        <v>72083</v>
      </c>
      <c r="I26" s="485">
        <f t="shared" si="2"/>
        <v>16450</v>
      </c>
      <c r="J26" s="485">
        <v>104742</v>
      </c>
      <c r="K26" s="486">
        <f t="shared" ref="K26:K49" si="8">(J26-F26)/F26</f>
        <v>0.18631359579576859</v>
      </c>
      <c r="L26" s="487">
        <v>0</v>
      </c>
      <c r="M26" s="485">
        <f t="shared" si="3"/>
        <v>104742</v>
      </c>
      <c r="N26" s="486">
        <f t="shared" si="6"/>
        <v>0</v>
      </c>
      <c r="O26" s="488" t="s">
        <v>136</v>
      </c>
      <c r="P26" s="489" t="s">
        <v>31</v>
      </c>
      <c r="Q26" s="490" t="s">
        <v>134</v>
      </c>
      <c r="R26" s="491" t="s">
        <v>59</v>
      </c>
      <c r="S26" s="492" t="s">
        <v>133</v>
      </c>
    </row>
    <row r="27" spans="1:20" s="2" customFormat="1" ht="24.95" customHeight="1" x14ac:dyDescent="0.35">
      <c r="A27" s="36"/>
      <c r="C27" s="7"/>
      <c r="D27" s="399" t="s">
        <v>229</v>
      </c>
      <c r="E27" s="400">
        <v>36100</v>
      </c>
      <c r="F27" s="401">
        <v>36100</v>
      </c>
      <c r="G27" s="400">
        <f>(F27*$G$9*-1)+1</f>
        <v>-6626.96</v>
      </c>
      <c r="H27" s="401">
        <f t="shared" si="7"/>
        <v>29473</v>
      </c>
      <c r="I27" s="401">
        <f t="shared" si="2"/>
        <v>31820</v>
      </c>
      <c r="J27" s="401">
        <v>67920</v>
      </c>
      <c r="K27" s="402">
        <f t="shared" si="8"/>
        <v>0.8814404432132964</v>
      </c>
      <c r="L27" s="481">
        <v>-37920</v>
      </c>
      <c r="M27" s="401">
        <f t="shared" si="3"/>
        <v>30000</v>
      </c>
      <c r="N27" s="402">
        <f t="shared" si="6"/>
        <v>-0.55830388692579502</v>
      </c>
      <c r="O27" s="275" t="s">
        <v>241</v>
      </c>
      <c r="P27" s="274" t="s">
        <v>31</v>
      </c>
      <c r="Q27" s="480" t="s">
        <v>10</v>
      </c>
      <c r="R27" s="266" t="s">
        <v>18</v>
      </c>
      <c r="S27" s="265" t="s">
        <v>242</v>
      </c>
    </row>
    <row r="28" spans="1:20" s="2" customFormat="1" ht="25.5" x14ac:dyDescent="0.35">
      <c r="A28" s="36" t="s">
        <v>132</v>
      </c>
      <c r="B28" s="2" t="s">
        <v>43</v>
      </c>
      <c r="C28" s="7"/>
      <c r="D28" s="483" t="s">
        <v>131</v>
      </c>
      <c r="E28" s="484">
        <v>-7503</v>
      </c>
      <c r="F28" s="485">
        <v>142566</v>
      </c>
      <c r="G28" s="484">
        <f>(F28*$G$9*-1)+2</f>
        <v>-26173.117600000001</v>
      </c>
      <c r="H28" s="485">
        <f t="shared" si="7"/>
        <v>116393</v>
      </c>
      <c r="I28" s="485">
        <f t="shared" si="2"/>
        <v>31803</v>
      </c>
      <c r="J28" s="485">
        <v>174369</v>
      </c>
      <c r="K28" s="486">
        <f t="shared" si="8"/>
        <v>0.22307562813012921</v>
      </c>
      <c r="L28" s="487">
        <v>0</v>
      </c>
      <c r="M28" s="485">
        <f t="shared" si="3"/>
        <v>174369</v>
      </c>
      <c r="N28" s="486">
        <f t="shared" si="6"/>
        <v>0</v>
      </c>
      <c r="O28" s="488" t="s">
        <v>132</v>
      </c>
      <c r="P28" s="489" t="s">
        <v>31</v>
      </c>
      <c r="Q28" s="490" t="s">
        <v>130</v>
      </c>
      <c r="R28" s="491" t="s">
        <v>59</v>
      </c>
      <c r="S28" s="492" t="s">
        <v>129</v>
      </c>
      <c r="T28" s="352"/>
    </row>
    <row r="29" spans="1:20" s="2" customFormat="1" ht="24.75" customHeight="1" x14ac:dyDescent="0.35">
      <c r="A29" s="36" t="s">
        <v>127</v>
      </c>
      <c r="B29" s="2" t="s">
        <v>43</v>
      </c>
      <c r="C29" s="7"/>
      <c r="D29" s="399" t="s">
        <v>128</v>
      </c>
      <c r="E29" s="400">
        <v>35000</v>
      </c>
      <c r="F29" s="401">
        <v>35000</v>
      </c>
      <c r="G29" s="400">
        <f>(F29*$G$9*-1)+1</f>
        <v>-6425.0000000000009</v>
      </c>
      <c r="H29" s="401">
        <f t="shared" si="7"/>
        <v>28575</v>
      </c>
      <c r="I29" s="401">
        <f t="shared" si="2"/>
        <v>0</v>
      </c>
      <c r="J29" s="401">
        <v>35000</v>
      </c>
      <c r="K29" s="402">
        <f t="shared" si="8"/>
        <v>0</v>
      </c>
      <c r="L29" s="481">
        <v>0</v>
      </c>
      <c r="M29" s="401">
        <f t="shared" si="3"/>
        <v>35000</v>
      </c>
      <c r="N29" s="402">
        <f t="shared" si="6"/>
        <v>0</v>
      </c>
      <c r="O29" s="300" t="s">
        <v>127</v>
      </c>
      <c r="P29" s="274" t="s">
        <v>31</v>
      </c>
      <c r="Q29" s="480" t="s">
        <v>126</v>
      </c>
      <c r="R29" s="266" t="s">
        <v>18</v>
      </c>
      <c r="S29" s="265" t="s">
        <v>212</v>
      </c>
    </row>
    <row r="30" spans="1:20" s="2" customFormat="1" ht="24.95" customHeight="1" x14ac:dyDescent="0.35">
      <c r="A30" s="36" t="s">
        <v>122</v>
      </c>
      <c r="B30" s="76" t="s">
        <v>124</v>
      </c>
      <c r="C30" s="7"/>
      <c r="D30" s="483" t="s">
        <v>123</v>
      </c>
      <c r="E30" s="484">
        <v>-12910</v>
      </c>
      <c r="F30" s="485">
        <v>64548</v>
      </c>
      <c r="G30" s="484">
        <f>(F30*$G$9*-1)+1</f>
        <v>-11850.0128</v>
      </c>
      <c r="H30" s="485">
        <f t="shared" si="7"/>
        <v>52698</v>
      </c>
      <c r="I30" s="485">
        <f t="shared" si="2"/>
        <v>0</v>
      </c>
      <c r="J30" s="485">
        <v>64548</v>
      </c>
      <c r="K30" s="486">
        <f t="shared" si="8"/>
        <v>0</v>
      </c>
      <c r="L30" s="487">
        <v>0</v>
      </c>
      <c r="M30" s="485">
        <f t="shared" si="3"/>
        <v>64548</v>
      </c>
      <c r="N30" s="486">
        <f t="shared" si="6"/>
        <v>0</v>
      </c>
      <c r="O30" s="488" t="s">
        <v>187</v>
      </c>
      <c r="P30" s="489" t="s">
        <v>31</v>
      </c>
      <c r="Q30" s="490" t="s">
        <v>121</v>
      </c>
      <c r="R30" s="491" t="s">
        <v>18</v>
      </c>
      <c r="S30" s="492" t="s">
        <v>90</v>
      </c>
    </row>
    <row r="31" spans="1:20" s="2" customFormat="1" ht="24.95" customHeight="1" x14ac:dyDescent="0.35">
      <c r="A31" s="36" t="s">
        <v>115</v>
      </c>
      <c r="B31" s="68" t="s">
        <v>93</v>
      </c>
      <c r="C31" s="7"/>
      <c r="D31" s="399" t="s">
        <v>114</v>
      </c>
      <c r="E31" s="400">
        <v>-9899</v>
      </c>
      <c r="F31" s="401">
        <v>35060</v>
      </c>
      <c r="G31" s="400">
        <f>(F31*$G$9*-1)+1</f>
        <v>-6436.0160000000005</v>
      </c>
      <c r="H31" s="401">
        <f t="shared" si="7"/>
        <v>28624</v>
      </c>
      <c r="I31" s="401">
        <f t="shared" si="2"/>
        <v>9899</v>
      </c>
      <c r="J31" s="401">
        <v>44959</v>
      </c>
      <c r="K31" s="402">
        <f t="shared" si="8"/>
        <v>0.282344552196235</v>
      </c>
      <c r="L31" s="481">
        <v>0</v>
      </c>
      <c r="M31" s="401">
        <f t="shared" si="3"/>
        <v>44959</v>
      </c>
      <c r="N31" s="402">
        <f t="shared" si="6"/>
        <v>0</v>
      </c>
      <c r="O31" s="275" t="s">
        <v>188</v>
      </c>
      <c r="P31" s="274" t="s">
        <v>31</v>
      </c>
      <c r="Q31" s="480" t="s">
        <v>113</v>
      </c>
      <c r="R31" s="266" t="s">
        <v>112</v>
      </c>
      <c r="S31" s="265" t="s">
        <v>220</v>
      </c>
    </row>
    <row r="32" spans="1:20" s="2" customFormat="1" ht="24.6" customHeight="1" x14ac:dyDescent="0.35">
      <c r="A32" s="36" t="s">
        <v>110</v>
      </c>
      <c r="B32" s="2" t="s">
        <v>43</v>
      </c>
      <c r="C32" s="7"/>
      <c r="D32" s="483" t="s">
        <v>11</v>
      </c>
      <c r="E32" s="484">
        <v>-13000</v>
      </c>
      <c r="F32" s="485">
        <v>87000</v>
      </c>
      <c r="G32" s="484">
        <f>(F32*$G$9*-1)+1</f>
        <v>-15972.2</v>
      </c>
      <c r="H32" s="485">
        <f t="shared" si="7"/>
        <v>71028</v>
      </c>
      <c r="I32" s="485">
        <f t="shared" si="2"/>
        <v>8000</v>
      </c>
      <c r="J32" s="485">
        <v>95000</v>
      </c>
      <c r="K32" s="486">
        <f t="shared" si="8"/>
        <v>9.1954022988505746E-2</v>
      </c>
      <c r="L32" s="487">
        <v>0</v>
      </c>
      <c r="M32" s="485">
        <f t="shared" si="3"/>
        <v>95000</v>
      </c>
      <c r="N32" s="486">
        <f t="shared" si="6"/>
        <v>0</v>
      </c>
      <c r="O32" s="488" t="s">
        <v>110</v>
      </c>
      <c r="P32" s="489" t="s">
        <v>31</v>
      </c>
      <c r="Q32" s="490" t="s">
        <v>243</v>
      </c>
      <c r="R32" s="491" t="s">
        <v>244</v>
      </c>
      <c r="S32" s="492" t="s">
        <v>290</v>
      </c>
    </row>
    <row r="33" spans="1:20" s="2" customFormat="1" ht="24.95" customHeight="1" x14ac:dyDescent="0.35">
      <c r="A33" s="36"/>
      <c r="C33" s="7"/>
      <c r="D33" s="399" t="s">
        <v>213</v>
      </c>
      <c r="E33" s="400">
        <v>0</v>
      </c>
      <c r="F33" s="401">
        <v>0</v>
      </c>
      <c r="G33" s="400">
        <f t="shared" si="5"/>
        <v>0</v>
      </c>
      <c r="H33" s="401">
        <f t="shared" si="7"/>
        <v>0</v>
      </c>
      <c r="I33" s="401">
        <f t="shared" si="2"/>
        <v>26000</v>
      </c>
      <c r="J33" s="401">
        <v>26000</v>
      </c>
      <c r="K33" s="402" t="s">
        <v>226</v>
      </c>
      <c r="L33" s="481">
        <v>0</v>
      </c>
      <c r="M33" s="401">
        <f t="shared" si="3"/>
        <v>26000</v>
      </c>
      <c r="N33" s="402">
        <f t="shared" si="6"/>
        <v>0</v>
      </c>
      <c r="O33" s="300" t="s">
        <v>291</v>
      </c>
      <c r="P33" s="274" t="s">
        <v>31</v>
      </c>
      <c r="Q33" s="480" t="s">
        <v>259</v>
      </c>
      <c r="R33" s="266" t="s">
        <v>147</v>
      </c>
      <c r="S33" s="265"/>
    </row>
    <row r="34" spans="1:20" s="2" customFormat="1" ht="24.95" customHeight="1" x14ac:dyDescent="0.35">
      <c r="A34" s="36" t="s">
        <v>109</v>
      </c>
      <c r="B34" s="2" t="s">
        <v>43</v>
      </c>
      <c r="C34" s="7"/>
      <c r="D34" s="483" t="s">
        <v>108</v>
      </c>
      <c r="E34" s="484">
        <v>-3107</v>
      </c>
      <c r="F34" s="485">
        <v>59037</v>
      </c>
      <c r="G34" s="484">
        <f>(F34*$G$9*-1)+1</f>
        <v>-10838.193200000002</v>
      </c>
      <c r="H34" s="485">
        <f t="shared" si="7"/>
        <v>48199</v>
      </c>
      <c r="I34" s="485">
        <f t="shared" si="2"/>
        <v>-10838</v>
      </c>
      <c r="J34" s="485">
        <v>48199</v>
      </c>
      <c r="K34" s="486">
        <f t="shared" si="8"/>
        <v>-0.18357978894591528</v>
      </c>
      <c r="L34" s="487">
        <v>0</v>
      </c>
      <c r="M34" s="485">
        <f t="shared" si="3"/>
        <v>48199</v>
      </c>
      <c r="N34" s="486">
        <f t="shared" si="6"/>
        <v>0</v>
      </c>
      <c r="O34" s="488" t="s">
        <v>109</v>
      </c>
      <c r="P34" s="489" t="s">
        <v>31</v>
      </c>
      <c r="Q34" s="490" t="s">
        <v>107</v>
      </c>
      <c r="R34" s="491" t="s">
        <v>106</v>
      </c>
      <c r="S34" s="492" t="s">
        <v>105</v>
      </c>
    </row>
    <row r="35" spans="1:20" s="2" customFormat="1" ht="24.95" customHeight="1" x14ac:dyDescent="0.35">
      <c r="A35" s="36" t="s">
        <v>103</v>
      </c>
      <c r="B35" s="74" t="s">
        <v>65</v>
      </c>
      <c r="C35" s="7"/>
      <c r="D35" s="399" t="s">
        <v>104</v>
      </c>
      <c r="E35" s="400">
        <v>-60244</v>
      </c>
      <c r="F35" s="401">
        <v>1947884</v>
      </c>
      <c r="G35" s="400">
        <f>(F35*$G$9*-1)+29</f>
        <v>-357602.5024</v>
      </c>
      <c r="H35" s="401">
        <f t="shared" si="7"/>
        <v>1590281</v>
      </c>
      <c r="I35" s="401">
        <f t="shared" si="2"/>
        <v>0</v>
      </c>
      <c r="J35" s="401">
        <v>1947884</v>
      </c>
      <c r="K35" s="402">
        <f t="shared" si="8"/>
        <v>0</v>
      </c>
      <c r="L35" s="481"/>
      <c r="M35" s="401">
        <f t="shared" si="3"/>
        <v>1947884</v>
      </c>
      <c r="N35" s="402">
        <f t="shared" si="6"/>
        <v>0</v>
      </c>
      <c r="O35" s="275" t="s">
        <v>103</v>
      </c>
      <c r="P35" s="274" t="s">
        <v>31</v>
      </c>
      <c r="Q35" s="480" t="s">
        <v>100</v>
      </c>
      <c r="R35" s="266" t="s">
        <v>59</v>
      </c>
      <c r="S35" s="265" t="s">
        <v>221</v>
      </c>
    </row>
    <row r="36" spans="1:20" s="2" customFormat="1" ht="24.95" customHeight="1" x14ac:dyDescent="0.35">
      <c r="A36" s="36" t="s">
        <v>97</v>
      </c>
      <c r="B36" s="68" t="s">
        <v>99</v>
      </c>
      <c r="C36" s="7"/>
      <c r="D36" s="483" t="s">
        <v>98</v>
      </c>
      <c r="E36" s="484">
        <v>-3210</v>
      </c>
      <c r="F36" s="485">
        <v>40000</v>
      </c>
      <c r="G36" s="484">
        <f>(F36*$G$9*-1)+1</f>
        <v>-7343.0000000000009</v>
      </c>
      <c r="H36" s="485">
        <f t="shared" si="7"/>
        <v>32657</v>
      </c>
      <c r="I36" s="485">
        <f t="shared" si="2"/>
        <v>-40000</v>
      </c>
      <c r="J36" s="485">
        <v>0</v>
      </c>
      <c r="K36" s="486">
        <f t="shared" si="8"/>
        <v>-1</v>
      </c>
      <c r="L36" s="487">
        <v>0</v>
      </c>
      <c r="M36" s="485">
        <f t="shared" si="3"/>
        <v>0</v>
      </c>
      <c r="N36" s="486">
        <v>0</v>
      </c>
      <c r="O36" s="488" t="s">
        <v>97</v>
      </c>
      <c r="P36" s="489" t="s">
        <v>31</v>
      </c>
      <c r="Q36" s="490" t="s">
        <v>96</v>
      </c>
      <c r="R36" s="491" t="s">
        <v>59</v>
      </c>
      <c r="S36" s="492" t="s">
        <v>245</v>
      </c>
    </row>
    <row r="37" spans="1:20" s="2" customFormat="1" ht="24.95" customHeight="1" x14ac:dyDescent="0.35">
      <c r="A37" s="36" t="s">
        <v>94</v>
      </c>
      <c r="B37" s="68" t="s">
        <v>93</v>
      </c>
      <c r="C37" s="7"/>
      <c r="D37" s="482" t="s">
        <v>24</v>
      </c>
      <c r="E37" s="400">
        <v>16500</v>
      </c>
      <c r="F37" s="401">
        <v>16500</v>
      </c>
      <c r="G37" s="400">
        <f t="shared" si="5"/>
        <v>-3029.4</v>
      </c>
      <c r="H37" s="401">
        <f t="shared" si="7"/>
        <v>13471</v>
      </c>
      <c r="I37" s="401">
        <f t="shared" si="2"/>
        <v>29063</v>
      </c>
      <c r="J37" s="401">
        <v>45563</v>
      </c>
      <c r="K37" s="402">
        <f t="shared" si="8"/>
        <v>1.7613939393939393</v>
      </c>
      <c r="L37" s="481">
        <v>0</v>
      </c>
      <c r="M37" s="401">
        <f t="shared" si="3"/>
        <v>45563</v>
      </c>
      <c r="N37" s="402">
        <f t="shared" si="6"/>
        <v>0</v>
      </c>
      <c r="O37" s="276" t="s">
        <v>223</v>
      </c>
      <c r="P37" s="280" t="s">
        <v>31</v>
      </c>
      <c r="Q37" s="134" t="s">
        <v>92</v>
      </c>
      <c r="R37" s="266" t="s">
        <v>91</v>
      </c>
      <c r="S37" s="130" t="s">
        <v>90</v>
      </c>
    </row>
    <row r="38" spans="1:20" s="2" customFormat="1" ht="24.95" customHeight="1" x14ac:dyDescent="0.35">
      <c r="A38" s="36" t="s">
        <v>89</v>
      </c>
      <c r="B38" s="2" t="s">
        <v>43</v>
      </c>
      <c r="C38" s="7"/>
      <c r="D38" s="483" t="s">
        <v>88</v>
      </c>
      <c r="E38" s="484">
        <v>-21174</v>
      </c>
      <c r="F38" s="485">
        <v>684630</v>
      </c>
      <c r="G38" s="484">
        <f>(F38*$G$9*-1)+10</f>
        <v>-125688.06800000001</v>
      </c>
      <c r="H38" s="485">
        <f t="shared" si="7"/>
        <v>558942</v>
      </c>
      <c r="I38" s="485">
        <f t="shared" si="2"/>
        <v>128088</v>
      </c>
      <c r="J38" s="485">
        <v>812718</v>
      </c>
      <c r="K38" s="486">
        <f t="shared" si="8"/>
        <v>0.18709083738661758</v>
      </c>
      <c r="L38" s="487">
        <v>0</v>
      </c>
      <c r="M38" s="485">
        <f t="shared" si="3"/>
        <v>812718</v>
      </c>
      <c r="N38" s="486">
        <f t="shared" si="6"/>
        <v>0</v>
      </c>
      <c r="O38" s="488" t="s">
        <v>89</v>
      </c>
      <c r="P38" s="489" t="s">
        <v>31</v>
      </c>
      <c r="Q38" s="490" t="s">
        <v>87</v>
      </c>
      <c r="R38" s="491" t="s">
        <v>59</v>
      </c>
      <c r="S38" s="492" t="s">
        <v>86</v>
      </c>
    </row>
    <row r="39" spans="1:20" s="2" customFormat="1" ht="24.95" customHeight="1" x14ac:dyDescent="0.35">
      <c r="A39" s="36" t="s">
        <v>84</v>
      </c>
      <c r="B39" s="2" t="s">
        <v>43</v>
      </c>
      <c r="C39" s="7"/>
      <c r="D39" s="399" t="s">
        <v>85</v>
      </c>
      <c r="E39" s="400">
        <v>-1345</v>
      </c>
      <c r="F39" s="401">
        <v>25548</v>
      </c>
      <c r="G39" s="400">
        <f>(F39*$G$9*-1)+1</f>
        <v>-4689.6128000000008</v>
      </c>
      <c r="H39" s="401">
        <f t="shared" si="7"/>
        <v>20858</v>
      </c>
      <c r="I39" s="401">
        <f t="shared" si="2"/>
        <v>61612</v>
      </c>
      <c r="J39" s="401">
        <v>87160</v>
      </c>
      <c r="K39" s="402">
        <f t="shared" si="8"/>
        <v>2.4116173477375922</v>
      </c>
      <c r="L39" s="481">
        <v>0</v>
      </c>
      <c r="M39" s="401">
        <f t="shared" si="3"/>
        <v>87160</v>
      </c>
      <c r="N39" s="402">
        <f t="shared" si="6"/>
        <v>0</v>
      </c>
      <c r="O39" s="275" t="s">
        <v>84</v>
      </c>
      <c r="P39" s="274" t="s">
        <v>31</v>
      </c>
      <c r="Q39" s="480" t="s">
        <v>38</v>
      </c>
      <c r="R39" s="266" t="s">
        <v>59</v>
      </c>
      <c r="S39" s="265" t="s">
        <v>221</v>
      </c>
    </row>
    <row r="40" spans="1:20" s="2" customFormat="1" ht="24.95" customHeight="1" x14ac:dyDescent="0.35">
      <c r="A40" s="36" t="s">
        <v>49</v>
      </c>
      <c r="B40" s="2" t="s">
        <v>43</v>
      </c>
      <c r="C40" s="7"/>
      <c r="D40" s="483" t="s">
        <v>83</v>
      </c>
      <c r="E40" s="484">
        <v>6541</v>
      </c>
      <c r="F40" s="485">
        <v>179212</v>
      </c>
      <c r="G40" s="484">
        <f>(F40*$G$9*-1)+2</f>
        <v>-32901.323199999999</v>
      </c>
      <c r="H40" s="485">
        <f t="shared" si="7"/>
        <v>146311</v>
      </c>
      <c r="I40" s="485">
        <f t="shared" si="2"/>
        <v>27310</v>
      </c>
      <c r="J40" s="485">
        <v>206522</v>
      </c>
      <c r="K40" s="486">
        <f t="shared" si="8"/>
        <v>0.15238934892752717</v>
      </c>
      <c r="L40" s="487">
        <v>0</v>
      </c>
      <c r="M40" s="485">
        <f t="shared" si="3"/>
        <v>206522</v>
      </c>
      <c r="N40" s="486">
        <f t="shared" si="6"/>
        <v>0</v>
      </c>
      <c r="O40" s="488" t="s">
        <v>49</v>
      </c>
      <c r="P40" s="489" t="s">
        <v>31</v>
      </c>
      <c r="Q40" s="490" t="s">
        <v>40</v>
      </c>
      <c r="R40" s="491" t="s">
        <v>39</v>
      </c>
      <c r="S40" s="492" t="s">
        <v>38</v>
      </c>
    </row>
    <row r="41" spans="1:20" s="2" customFormat="1" ht="24.95" customHeight="1" x14ac:dyDescent="0.35">
      <c r="A41" s="36" t="s">
        <v>81</v>
      </c>
      <c r="B41" s="74" t="s">
        <v>65</v>
      </c>
      <c r="C41" s="7"/>
      <c r="D41" s="399" t="s">
        <v>82</v>
      </c>
      <c r="E41" s="400">
        <v>-130553</v>
      </c>
      <c r="F41" s="401">
        <v>4221218</v>
      </c>
      <c r="G41" s="400">
        <f>(F41*$G$9*-1)+63</f>
        <v>-774952.62480000011</v>
      </c>
      <c r="H41" s="401">
        <f t="shared" si="7"/>
        <v>3446265</v>
      </c>
      <c r="I41" s="401">
        <f t="shared" si="2"/>
        <v>130553</v>
      </c>
      <c r="J41" s="401">
        <v>4351771</v>
      </c>
      <c r="K41" s="402">
        <f t="shared" si="8"/>
        <v>3.092780330226963E-2</v>
      </c>
      <c r="L41" s="481"/>
      <c r="M41" s="401">
        <f t="shared" si="3"/>
        <v>4351771</v>
      </c>
      <c r="N41" s="402">
        <f t="shared" si="6"/>
        <v>0</v>
      </c>
      <c r="O41" s="275" t="s">
        <v>189</v>
      </c>
      <c r="P41" s="274" t="s">
        <v>31</v>
      </c>
      <c r="Q41" s="480" t="s">
        <v>79</v>
      </c>
      <c r="R41" s="266" t="s">
        <v>246</v>
      </c>
      <c r="S41" s="265" t="s">
        <v>247</v>
      </c>
    </row>
    <row r="42" spans="1:20" s="2" customFormat="1" ht="24.95" customHeight="1" x14ac:dyDescent="0.35">
      <c r="A42" s="36"/>
      <c r="C42" s="7"/>
      <c r="D42" s="483" t="s">
        <v>201</v>
      </c>
      <c r="E42" s="484">
        <v>0</v>
      </c>
      <c r="F42" s="485">
        <v>0</v>
      </c>
      <c r="G42" s="484">
        <f t="shared" si="5"/>
        <v>0</v>
      </c>
      <c r="H42" s="485">
        <f t="shared" si="7"/>
        <v>0</v>
      </c>
      <c r="I42" s="485">
        <f t="shared" si="2"/>
        <v>85000</v>
      </c>
      <c r="J42" s="485">
        <v>85000</v>
      </c>
      <c r="K42" s="486" t="s">
        <v>226</v>
      </c>
      <c r="L42" s="487">
        <v>-20000</v>
      </c>
      <c r="M42" s="485">
        <f t="shared" si="3"/>
        <v>65000</v>
      </c>
      <c r="N42" s="486">
        <f t="shared" si="6"/>
        <v>-0.23529411764705882</v>
      </c>
      <c r="O42" s="488" t="s">
        <v>196</v>
      </c>
      <c r="P42" s="489" t="s">
        <v>31</v>
      </c>
      <c r="Q42" s="490" t="s">
        <v>203</v>
      </c>
      <c r="R42" s="491" t="s">
        <v>204</v>
      </c>
      <c r="S42" s="492"/>
    </row>
    <row r="43" spans="1:20" s="2" customFormat="1" ht="24.6" customHeight="1" x14ac:dyDescent="0.35">
      <c r="A43" s="36" t="s">
        <v>71</v>
      </c>
      <c r="B43" s="76" t="s">
        <v>73</v>
      </c>
      <c r="C43" s="7"/>
      <c r="D43" s="399" t="s">
        <v>72</v>
      </c>
      <c r="E43" s="400">
        <v>-11856</v>
      </c>
      <c r="F43" s="401">
        <v>225256</v>
      </c>
      <c r="G43" s="400">
        <f>(F43*$G$9*-1)+3</f>
        <v>-41354.001600000003</v>
      </c>
      <c r="H43" s="401">
        <f t="shared" si="7"/>
        <v>183902</v>
      </c>
      <c r="I43" s="401">
        <f t="shared" si="2"/>
        <v>-18354</v>
      </c>
      <c r="J43" s="401">
        <v>206902</v>
      </c>
      <c r="K43" s="402">
        <f t="shared" si="8"/>
        <v>-8.1480626487196783E-2</v>
      </c>
      <c r="L43" s="481"/>
      <c r="M43" s="401">
        <f t="shared" si="3"/>
        <v>206902</v>
      </c>
      <c r="N43" s="402">
        <f t="shared" si="6"/>
        <v>0</v>
      </c>
      <c r="O43" s="276" t="s">
        <v>190</v>
      </c>
      <c r="P43" s="274" t="s">
        <v>31</v>
      </c>
      <c r="Q43" s="480" t="s">
        <v>248</v>
      </c>
      <c r="R43" s="266" t="s">
        <v>249</v>
      </c>
      <c r="S43" s="265" t="s">
        <v>219</v>
      </c>
    </row>
    <row r="44" spans="1:20" s="2" customFormat="1" ht="24.95" customHeight="1" x14ac:dyDescent="0.35">
      <c r="A44" s="36" t="s">
        <v>70</v>
      </c>
      <c r="B44" s="2" t="s">
        <v>43</v>
      </c>
      <c r="C44" s="7"/>
      <c r="D44" s="483" t="s">
        <v>69</v>
      </c>
      <c r="E44" s="484">
        <v>-9894</v>
      </c>
      <c r="F44" s="485">
        <v>319902</v>
      </c>
      <c r="G44" s="484">
        <f>(F44*$G$9*-1)+5</f>
        <v>-58729.007200000007</v>
      </c>
      <c r="H44" s="485">
        <f t="shared" si="7"/>
        <v>261173</v>
      </c>
      <c r="I44" s="485">
        <f t="shared" si="2"/>
        <v>9894</v>
      </c>
      <c r="J44" s="485">
        <v>329796</v>
      </c>
      <c r="K44" s="486">
        <f t="shared" si="8"/>
        <v>3.0928221767916424E-2</v>
      </c>
      <c r="L44" s="487"/>
      <c r="M44" s="485">
        <f t="shared" si="3"/>
        <v>329796</v>
      </c>
      <c r="N44" s="486">
        <f t="shared" si="6"/>
        <v>0</v>
      </c>
      <c r="O44" s="488" t="s">
        <v>191</v>
      </c>
      <c r="P44" s="489" t="s">
        <v>31</v>
      </c>
      <c r="Q44" s="490" t="s">
        <v>68</v>
      </c>
      <c r="R44" s="491" t="s">
        <v>59</v>
      </c>
      <c r="S44" s="492" t="s">
        <v>250</v>
      </c>
      <c r="T44"/>
    </row>
    <row r="45" spans="1:20" s="2" customFormat="1" ht="24.95" customHeight="1" x14ac:dyDescent="0.35">
      <c r="A45" s="36" t="s">
        <v>66</v>
      </c>
      <c r="B45" s="74" t="s">
        <v>65</v>
      </c>
      <c r="C45" s="7"/>
      <c r="D45" s="399" t="s">
        <v>64</v>
      </c>
      <c r="E45" s="400">
        <v>-79790</v>
      </c>
      <c r="F45" s="401">
        <v>50000</v>
      </c>
      <c r="G45" s="400">
        <f>(F45*$G$9*-1)+1</f>
        <v>-9179</v>
      </c>
      <c r="H45" s="401">
        <f t="shared" si="7"/>
        <v>40821</v>
      </c>
      <c r="I45" s="401">
        <f t="shared" si="2"/>
        <v>-9179</v>
      </c>
      <c r="J45" s="401">
        <v>40821</v>
      </c>
      <c r="K45" s="402">
        <f t="shared" si="8"/>
        <v>-0.18357999999999999</v>
      </c>
      <c r="L45" s="481"/>
      <c r="M45" s="401">
        <f t="shared" si="3"/>
        <v>40821</v>
      </c>
      <c r="N45" s="402">
        <f t="shared" si="6"/>
        <v>0</v>
      </c>
      <c r="O45" s="275" t="s">
        <v>192</v>
      </c>
      <c r="P45" s="274" t="s">
        <v>31</v>
      </c>
      <c r="Q45" s="480" t="s">
        <v>63</v>
      </c>
      <c r="R45" s="266" t="s">
        <v>59</v>
      </c>
      <c r="S45" s="265" t="s">
        <v>224</v>
      </c>
      <c r="T45"/>
    </row>
    <row r="46" spans="1:20" s="2" customFormat="1" ht="24.95" customHeight="1" x14ac:dyDescent="0.35">
      <c r="A46" s="36" t="s">
        <v>62</v>
      </c>
      <c r="B46" s="2" t="s">
        <v>43</v>
      </c>
      <c r="C46" s="7"/>
      <c r="D46" s="483" t="s">
        <v>61</v>
      </c>
      <c r="E46" s="484">
        <v>-4464</v>
      </c>
      <c r="F46" s="485">
        <v>84824</v>
      </c>
      <c r="G46" s="484">
        <f>(F46*$G$9*-1)+2</f>
        <v>-15571.686400000001</v>
      </c>
      <c r="H46" s="485">
        <f t="shared" si="7"/>
        <v>69252</v>
      </c>
      <c r="I46" s="485">
        <f t="shared" si="2"/>
        <v>-15572</v>
      </c>
      <c r="J46" s="485">
        <v>69252</v>
      </c>
      <c r="K46" s="486">
        <f t="shared" si="8"/>
        <v>-0.18358011883429218</v>
      </c>
      <c r="L46" s="487"/>
      <c r="M46" s="485">
        <f t="shared" si="3"/>
        <v>69252</v>
      </c>
      <c r="N46" s="486">
        <f t="shared" si="6"/>
        <v>0</v>
      </c>
      <c r="O46" s="488" t="s">
        <v>62</v>
      </c>
      <c r="P46" s="489" t="s">
        <v>31</v>
      </c>
      <c r="Q46" s="490" t="s">
        <v>60</v>
      </c>
      <c r="R46" s="491" t="s">
        <v>59</v>
      </c>
      <c r="S46" s="492" t="s">
        <v>58</v>
      </c>
      <c r="T46"/>
    </row>
    <row r="47" spans="1:20" s="2" customFormat="1" ht="24.95" customHeight="1" x14ac:dyDescent="0.4">
      <c r="A47" s="36"/>
      <c r="C47" s="7"/>
      <c r="D47" s="399" t="s">
        <v>252</v>
      </c>
      <c r="E47" s="400">
        <v>123726</v>
      </c>
      <c r="F47" s="401">
        <v>123726</v>
      </c>
      <c r="G47" s="400">
        <f>(F47*$G$9*-1)+2</f>
        <v>-22714.0936</v>
      </c>
      <c r="H47" s="401">
        <f t="shared" si="7"/>
        <v>101012</v>
      </c>
      <c r="I47" s="401">
        <f t="shared" si="2"/>
        <v>0</v>
      </c>
      <c r="J47" s="401">
        <v>123726</v>
      </c>
      <c r="K47" s="402">
        <f t="shared" si="8"/>
        <v>0</v>
      </c>
      <c r="L47" s="481">
        <v>-49490</v>
      </c>
      <c r="M47" s="401">
        <f>ROUND(J47*0.6,0)</f>
        <v>74236</v>
      </c>
      <c r="N47" s="402">
        <f t="shared" si="6"/>
        <v>-0.39999676704977127</v>
      </c>
      <c r="O47" s="301" t="s">
        <v>47</v>
      </c>
      <c r="P47" s="277" t="s">
        <v>31</v>
      </c>
      <c r="Q47" s="267" t="s">
        <v>40</v>
      </c>
      <c r="R47" s="266" t="s">
        <v>39</v>
      </c>
      <c r="S47" s="265" t="s">
        <v>38</v>
      </c>
      <c r="T47" s="476" t="s">
        <v>315</v>
      </c>
    </row>
    <row r="48" spans="1:20" s="2" customFormat="1" ht="24.95" customHeight="1" x14ac:dyDescent="0.35">
      <c r="A48" s="36"/>
      <c r="C48" s="7"/>
      <c r="D48" s="483" t="s">
        <v>314</v>
      </c>
      <c r="E48" s="484"/>
      <c r="F48" s="485">
        <v>0</v>
      </c>
      <c r="G48" s="484">
        <f t="shared" ref="G48" si="9">(F48*$G$9*-1)</f>
        <v>0</v>
      </c>
      <c r="H48" s="485">
        <f t="shared" si="7"/>
        <v>0</v>
      </c>
      <c r="I48" s="485">
        <v>0</v>
      </c>
      <c r="J48" s="485">
        <v>0</v>
      </c>
      <c r="K48" s="486" t="s">
        <v>226</v>
      </c>
      <c r="L48" s="487"/>
      <c r="M48" s="485">
        <f>ROUND(J47*0.4,0)</f>
        <v>49490</v>
      </c>
      <c r="N48" s="486" t="s">
        <v>226</v>
      </c>
      <c r="O48" s="488" t="s">
        <v>44</v>
      </c>
      <c r="P48" s="489" t="s">
        <v>31</v>
      </c>
      <c r="Q48" s="490"/>
      <c r="R48" s="491"/>
      <c r="S48" s="492"/>
      <c r="T48"/>
    </row>
    <row r="49" spans="1:20" s="2" customFormat="1" ht="24.95" customHeight="1" x14ac:dyDescent="0.35">
      <c r="A49" s="36"/>
      <c r="C49" s="7"/>
      <c r="D49" s="399" t="s">
        <v>215</v>
      </c>
      <c r="E49" s="400">
        <f>151071+4</f>
        <v>151075</v>
      </c>
      <c r="F49" s="401">
        <v>351074</v>
      </c>
      <c r="G49" s="400">
        <f>(F49*$G$9*-1)+1</f>
        <v>-64456.186400000006</v>
      </c>
      <c r="H49" s="401">
        <f t="shared" si="7"/>
        <v>286618</v>
      </c>
      <c r="I49" s="401">
        <f>J49-F49</f>
        <v>-308942</v>
      </c>
      <c r="J49" s="401">
        <v>42132</v>
      </c>
      <c r="K49" s="402">
        <f t="shared" si="8"/>
        <v>-0.87999111298472688</v>
      </c>
      <c r="L49" s="481">
        <f>432320-42132</f>
        <v>390188</v>
      </c>
      <c r="M49" s="401">
        <v>432320</v>
      </c>
      <c r="N49" s="402">
        <f>(M49-J49)/J49</f>
        <v>9.2610842115256808</v>
      </c>
      <c r="O49" s="273" t="s">
        <v>198</v>
      </c>
      <c r="P49" s="274" t="s">
        <v>31</v>
      </c>
      <c r="Q49" s="264"/>
      <c r="R49" s="266"/>
      <c r="S49" s="265"/>
      <c r="T49"/>
    </row>
    <row r="50" spans="1:20" s="22" customFormat="1" ht="24.95" customHeight="1" x14ac:dyDescent="0.4">
      <c r="A50" s="29"/>
      <c r="C50" s="28"/>
      <c r="D50" s="302" t="s">
        <v>308</v>
      </c>
      <c r="E50" s="303">
        <f t="shared" ref="E50:I50" si="10">SUM(E15:E49)</f>
        <v>-331301</v>
      </c>
      <c r="F50" s="304">
        <f>SUM(F15:F49)-1</f>
        <v>12607488</v>
      </c>
      <c r="G50" s="303">
        <f>SUM(G15:G49)+1</f>
        <v>-2314547.9803999993</v>
      </c>
      <c r="H50" s="304">
        <f t="shared" si="10"/>
        <v>10292941</v>
      </c>
      <c r="I50" s="304">
        <f t="shared" si="10"/>
        <v>764015</v>
      </c>
      <c r="J50" s="304">
        <f>SUM(J15:J49)</f>
        <v>13431504</v>
      </c>
      <c r="K50" s="477">
        <f>(J50-F50)/F50</f>
        <v>6.5359253167641324E-2</v>
      </c>
      <c r="L50" s="304">
        <f>SUM(L15:L49)</f>
        <v>-49490</v>
      </c>
      <c r="M50" s="304">
        <f>SUM(M15:M49)</f>
        <v>13431504</v>
      </c>
      <c r="N50" s="477">
        <f>(M50-J50)/J50</f>
        <v>0</v>
      </c>
      <c r="O50" s="305"/>
      <c r="P50" s="55"/>
      <c r="Q50" s="55"/>
      <c r="R50" s="53"/>
      <c r="S50" s="53"/>
      <c r="T50"/>
    </row>
    <row r="51" spans="1:20" s="2" customFormat="1" ht="24.95" customHeight="1" x14ac:dyDescent="0.4">
      <c r="A51" s="36"/>
      <c r="C51" s="7"/>
      <c r="D51" s="306" t="s">
        <v>56</v>
      </c>
      <c r="E51" s="307"/>
      <c r="F51" s="308" t="s">
        <v>227</v>
      </c>
      <c r="G51" s="14"/>
      <c r="H51" s="296"/>
      <c r="I51" s="294"/>
      <c r="J51" s="14"/>
      <c r="K51" s="356"/>
      <c r="L51" s="404"/>
      <c r="M51" s="404"/>
      <c r="N51" s="404"/>
      <c r="O51" s="276"/>
      <c r="P51" s="274"/>
      <c r="Q51" s="137"/>
      <c r="R51" s="137"/>
      <c r="S51" s="137"/>
      <c r="T51"/>
    </row>
    <row r="52" spans="1:20" s="2" customFormat="1" ht="24.95" customHeight="1" x14ac:dyDescent="0.35">
      <c r="A52" s="36" t="s">
        <v>53</v>
      </c>
      <c r="B52" s="68" t="s">
        <v>55</v>
      </c>
      <c r="C52" s="7"/>
      <c r="D52" s="494" t="s">
        <v>54</v>
      </c>
      <c r="E52" s="299">
        <v>-4338</v>
      </c>
      <c r="F52" s="298">
        <v>37581</v>
      </c>
      <c r="G52" s="299">
        <f>(F52*$G$9*-1)+1</f>
        <v>-6898.8716000000004</v>
      </c>
      <c r="H52" s="495">
        <f>ROUND((F52+G52),0)</f>
        <v>30682</v>
      </c>
      <c r="I52" s="299">
        <f>J52-F52</f>
        <v>-6899</v>
      </c>
      <c r="J52" s="312">
        <v>30682</v>
      </c>
      <c r="K52" s="357">
        <f>(J52-F52)/F52</f>
        <v>-0.18357680742928609</v>
      </c>
      <c r="L52" s="481">
        <v>0</v>
      </c>
      <c r="M52" s="401">
        <f>J52+L52</f>
        <v>30682</v>
      </c>
      <c r="N52" s="402">
        <f t="shared" ref="N52:N53" si="11">(M52-J52)/J52</f>
        <v>0</v>
      </c>
      <c r="O52" s="278" t="s">
        <v>53</v>
      </c>
      <c r="P52" s="279" t="s">
        <v>31</v>
      </c>
      <c r="Q52" s="267" t="s">
        <v>40</v>
      </c>
      <c r="R52" s="265" t="s">
        <v>39</v>
      </c>
      <c r="S52" s="265" t="s">
        <v>38</v>
      </c>
      <c r="T52"/>
    </row>
    <row r="53" spans="1:20" s="2" customFormat="1" ht="24.95" customHeight="1" x14ac:dyDescent="0.35">
      <c r="A53" s="36" t="s">
        <v>52</v>
      </c>
      <c r="B53" s="2" t="s">
        <v>43</v>
      </c>
      <c r="C53" s="7"/>
      <c r="D53" s="483" t="s">
        <v>51</v>
      </c>
      <c r="E53" s="484">
        <v>-5098</v>
      </c>
      <c r="F53" s="485">
        <v>74809</v>
      </c>
      <c r="G53" s="484">
        <f>(F53*$G$9*-1)+1</f>
        <v>-13733.932400000002</v>
      </c>
      <c r="H53" s="485">
        <f>ROUND((F53+G53),0)</f>
        <v>61075</v>
      </c>
      <c r="I53" s="485">
        <f>J53-F53</f>
        <v>-13734</v>
      </c>
      <c r="J53" s="485">
        <v>61075</v>
      </c>
      <c r="K53" s="486">
        <f t="shared" ref="K53:K63" si="12">(J53-F53)/F53</f>
        <v>-0.18358753625900626</v>
      </c>
      <c r="L53" s="487">
        <v>0</v>
      </c>
      <c r="M53" s="485">
        <f t="shared" ref="M53:M57" si="13">J53+L53</f>
        <v>61075</v>
      </c>
      <c r="N53" s="486">
        <f t="shared" si="11"/>
        <v>0</v>
      </c>
      <c r="O53" s="488" t="s">
        <v>52</v>
      </c>
      <c r="P53" s="489" t="s">
        <v>31</v>
      </c>
      <c r="Q53" s="490" t="s">
        <v>40</v>
      </c>
      <c r="R53" s="491" t="s">
        <v>39</v>
      </c>
      <c r="S53" s="492" t="s">
        <v>38</v>
      </c>
      <c r="T53"/>
    </row>
    <row r="54" spans="1:20" s="2" customFormat="1" ht="18" customHeight="1" x14ac:dyDescent="0.35">
      <c r="A54" s="36"/>
      <c r="C54" s="7"/>
      <c r="D54" s="309"/>
      <c r="E54" s="299"/>
      <c r="F54" s="298"/>
      <c r="G54" s="299"/>
      <c r="H54" s="310"/>
      <c r="I54" s="299"/>
      <c r="J54" s="355"/>
      <c r="K54" s="357"/>
      <c r="L54"/>
      <c r="M54"/>
      <c r="N54" s="405"/>
      <c r="O54" s="276"/>
      <c r="P54" s="274"/>
      <c r="Q54" s="270"/>
      <c r="R54" s="268"/>
      <c r="S54" s="268"/>
      <c r="T54"/>
    </row>
    <row r="55" spans="1:20" s="2" customFormat="1" ht="26.25" customHeight="1" x14ac:dyDescent="0.4">
      <c r="A55" s="36"/>
      <c r="C55" s="7"/>
      <c r="D55" s="306" t="s">
        <v>37</v>
      </c>
      <c r="E55" s="299"/>
      <c r="F55" s="298"/>
      <c r="G55" s="299"/>
      <c r="H55" s="310"/>
      <c r="I55" s="299"/>
      <c r="J55" s="355"/>
      <c r="K55" s="357"/>
      <c r="L55"/>
      <c r="M55"/>
      <c r="N55" s="405"/>
      <c r="O55" s="276"/>
      <c r="P55" s="274"/>
      <c r="Q55" s="269"/>
      <c r="R55" s="269"/>
      <c r="S55" s="271"/>
      <c r="T55"/>
    </row>
    <row r="56" spans="1:20" s="2" customFormat="1" ht="33" customHeight="1" x14ac:dyDescent="0.35">
      <c r="A56" s="36"/>
      <c r="C56" s="7"/>
      <c r="D56" s="297" t="s">
        <v>35</v>
      </c>
      <c r="E56" s="299">
        <v>-85853</v>
      </c>
      <c r="F56" s="298">
        <v>2301352</v>
      </c>
      <c r="G56" s="299">
        <v>0</v>
      </c>
      <c r="H56" s="495">
        <f>F56+G56</f>
        <v>2301352</v>
      </c>
      <c r="I56" s="496">
        <f>J56-F56</f>
        <v>0</v>
      </c>
      <c r="J56" s="312">
        <v>2301352</v>
      </c>
      <c r="K56" s="357">
        <f>(J56-F56)/F56</f>
        <v>0</v>
      </c>
      <c r="L56" s="481">
        <v>0</v>
      </c>
      <c r="M56" s="401">
        <f t="shared" si="13"/>
        <v>2301352</v>
      </c>
      <c r="N56" s="402">
        <f t="shared" ref="N56:N57" si="14">(M56-J56)/J56</f>
        <v>0</v>
      </c>
      <c r="O56" s="276" t="s">
        <v>36</v>
      </c>
      <c r="P56" s="274" t="s">
        <v>31</v>
      </c>
      <c r="Q56" s="135"/>
      <c r="R56" s="130" t="s">
        <v>232</v>
      </c>
      <c r="S56" s="130"/>
      <c r="T56"/>
    </row>
    <row r="57" spans="1:20" s="2" customFormat="1" ht="33" customHeight="1" x14ac:dyDescent="0.35">
      <c r="A57" s="36"/>
      <c r="C57" s="7"/>
      <c r="D57" s="483" t="s">
        <v>32</v>
      </c>
      <c r="E57" s="484">
        <v>-195488</v>
      </c>
      <c r="F57" s="485">
        <v>16821820</v>
      </c>
      <c r="G57" s="484">
        <v>0</v>
      </c>
      <c r="H57" s="485">
        <f>F57+G57</f>
        <v>16821820</v>
      </c>
      <c r="I57" s="485">
        <f>J57-F57</f>
        <v>0</v>
      </c>
      <c r="J57" s="485">
        <v>16821820</v>
      </c>
      <c r="K57" s="486">
        <f>(J57-F57)/F57</f>
        <v>0</v>
      </c>
      <c r="L57" s="487">
        <v>0</v>
      </c>
      <c r="M57" s="485">
        <f t="shared" si="13"/>
        <v>16821820</v>
      </c>
      <c r="N57" s="486">
        <f t="shared" si="14"/>
        <v>0</v>
      </c>
      <c r="O57" s="488" t="s">
        <v>34</v>
      </c>
      <c r="P57" s="489" t="s">
        <v>31</v>
      </c>
      <c r="Q57" s="490"/>
      <c r="R57" s="491"/>
      <c r="S57" s="492"/>
      <c r="T57"/>
    </row>
    <row r="58" spans="1:20" s="2" customFormat="1" ht="33" customHeight="1" x14ac:dyDescent="0.4">
      <c r="A58" s="36"/>
      <c r="C58" s="7"/>
      <c r="D58" s="313" t="s">
        <v>310</v>
      </c>
      <c r="E58" s="303">
        <f>E50+SUM(E52:E57)</f>
        <v>-622078</v>
      </c>
      <c r="F58" s="303">
        <f>F50+SUM(F52:F57)</f>
        <v>31843050</v>
      </c>
      <c r="G58" s="303">
        <f>G50+SUM(G52:G57)</f>
        <v>-2335180.7843999993</v>
      </c>
      <c r="H58" s="303">
        <f t="shared" ref="H58:I58" si="15">H50+SUM(H52:H57)</f>
        <v>29507870</v>
      </c>
      <c r="I58" s="303">
        <f t="shared" si="15"/>
        <v>743382</v>
      </c>
      <c r="J58" s="303">
        <f>J50+SUM(J52:J57)</f>
        <v>32646433</v>
      </c>
      <c r="K58" s="477">
        <f>(J58-F58)/F58</f>
        <v>2.5229461373831967E-2</v>
      </c>
      <c r="L58" s="303">
        <f>L50+SUM(L52:L57)</f>
        <v>-49490</v>
      </c>
      <c r="M58" s="303">
        <f>M50+SUM(M52:M57)</f>
        <v>32646433</v>
      </c>
      <c r="N58" s="477">
        <f>(M58-J58)/J58</f>
        <v>0</v>
      </c>
      <c r="O58" s="314"/>
      <c r="P58" s="283"/>
      <c r="Q58" s="283"/>
      <c r="R58" s="315"/>
      <c r="S58" s="315"/>
      <c r="T58"/>
    </row>
    <row r="59" spans="1:20" s="2" customFormat="1" ht="21" customHeight="1" x14ac:dyDescent="0.35">
      <c r="A59" s="36"/>
      <c r="C59" s="7"/>
      <c r="D59" s="309"/>
      <c r="E59" s="299"/>
      <c r="F59" s="298"/>
      <c r="G59" s="299"/>
      <c r="H59" s="310"/>
      <c r="I59" s="299"/>
      <c r="J59" s="355"/>
      <c r="K59" s="357"/>
      <c r="L59" s="405"/>
      <c r="M59" s="405"/>
      <c r="N59" s="405"/>
      <c r="O59" s="276"/>
      <c r="P59" s="274"/>
      <c r="Q59" s="270"/>
      <c r="R59" s="268"/>
      <c r="S59" s="268"/>
      <c r="T59"/>
    </row>
    <row r="60" spans="1:20" s="2" customFormat="1" ht="24.95" customHeight="1" x14ac:dyDescent="0.4">
      <c r="A60" s="36"/>
      <c r="C60" s="7"/>
      <c r="D60" s="311" t="s">
        <v>50</v>
      </c>
      <c r="E60" s="299"/>
      <c r="F60" s="298"/>
      <c r="G60" s="299"/>
      <c r="H60" s="310"/>
      <c r="I60" s="299"/>
      <c r="J60" s="355"/>
      <c r="K60" s="357"/>
      <c r="L60" s="405"/>
      <c r="M60" s="405"/>
      <c r="N60" s="405"/>
      <c r="O60" s="276"/>
      <c r="P60" s="274"/>
      <c r="Q60" s="269"/>
      <c r="R60" s="269"/>
      <c r="S60" s="271"/>
      <c r="T60"/>
    </row>
    <row r="61" spans="1:20" s="2" customFormat="1" ht="24.95" customHeight="1" x14ac:dyDescent="0.35">
      <c r="A61" s="36" t="s">
        <v>49</v>
      </c>
      <c r="B61" s="2" t="s">
        <v>43</v>
      </c>
      <c r="C61" s="7"/>
      <c r="D61" s="499" t="s">
        <v>48</v>
      </c>
      <c r="E61" s="299">
        <v>-6541</v>
      </c>
      <c r="F61" s="298">
        <v>30727</v>
      </c>
      <c r="G61" s="299">
        <f>(F61*$G$9*-1)</f>
        <v>-5641.4772000000003</v>
      </c>
      <c r="H61" s="495">
        <f>F61+G61</f>
        <v>25085.522799999999</v>
      </c>
      <c r="I61" s="299">
        <f t="shared" ref="I61:I63" si="16">J61-F61</f>
        <v>1878</v>
      </c>
      <c r="J61" s="312">
        <f>ROUND((652096*0.05),0)</f>
        <v>32605</v>
      </c>
      <c r="K61" s="357">
        <f t="shared" si="12"/>
        <v>6.1118885670582872E-2</v>
      </c>
      <c r="L61" s="402"/>
      <c r="M61" s="401">
        <f>J61+L61</f>
        <v>32605</v>
      </c>
      <c r="N61" s="402">
        <f t="shared" ref="N61:N62" si="17">(M61-J61)/J61</f>
        <v>0</v>
      </c>
      <c r="O61" s="278" t="s">
        <v>49</v>
      </c>
      <c r="P61" s="274" t="s">
        <v>45</v>
      </c>
      <c r="Q61" s="267" t="s">
        <v>40</v>
      </c>
      <c r="R61" s="265" t="s">
        <v>39</v>
      </c>
      <c r="S61" s="265" t="s">
        <v>38</v>
      </c>
      <c r="T61"/>
    </row>
    <row r="62" spans="1:20" s="2" customFormat="1" ht="24.95" customHeight="1" x14ac:dyDescent="0.35">
      <c r="A62" s="36" t="s">
        <v>47</v>
      </c>
      <c r="B62" s="2" t="s">
        <v>43</v>
      </c>
      <c r="C62" s="7"/>
      <c r="D62" s="483" t="s">
        <v>46</v>
      </c>
      <c r="E62" s="484">
        <v>-132366</v>
      </c>
      <c r="F62" s="485">
        <v>621767</v>
      </c>
      <c r="G62" s="484">
        <f>(F62*$G$9*-1)+9</f>
        <v>-114147.42120000001</v>
      </c>
      <c r="H62" s="485">
        <f>ROUND((F62+G62),)</f>
        <v>507620</v>
      </c>
      <c r="I62" s="485">
        <f t="shared" si="16"/>
        <v>-2276</v>
      </c>
      <c r="J62" s="485">
        <f>ROUND((652096*0.95),0)</f>
        <v>619491</v>
      </c>
      <c r="K62" s="486">
        <f t="shared" si="12"/>
        <v>-3.6605352165682641E-3</v>
      </c>
      <c r="L62" s="487"/>
      <c r="M62" s="485">
        <f t="shared" ref="M62" si="18">J62+L62</f>
        <v>619491</v>
      </c>
      <c r="N62" s="486">
        <f t="shared" si="17"/>
        <v>0</v>
      </c>
      <c r="O62" s="488" t="s">
        <v>47</v>
      </c>
      <c r="P62" s="489" t="s">
        <v>45</v>
      </c>
      <c r="Q62" s="490" t="s">
        <v>40</v>
      </c>
      <c r="R62" s="491" t="s">
        <v>39</v>
      </c>
      <c r="S62" s="492" t="s">
        <v>38</v>
      </c>
      <c r="T62"/>
    </row>
    <row r="63" spans="1:20" s="2" customFormat="1" ht="24.95" customHeight="1" x14ac:dyDescent="0.35">
      <c r="A63" s="36" t="s">
        <v>44</v>
      </c>
      <c r="B63" s="2" t="s">
        <v>43</v>
      </c>
      <c r="C63" s="7"/>
      <c r="D63" s="499" t="s">
        <v>42</v>
      </c>
      <c r="E63" s="299">
        <v>-17792</v>
      </c>
      <c r="F63" s="298">
        <v>245285</v>
      </c>
      <c r="G63" s="299">
        <f>(F63*$G$9*-1)+3</f>
        <v>-45031.326000000001</v>
      </c>
      <c r="H63" s="495">
        <f>ROUND((F63+G63),)</f>
        <v>200254</v>
      </c>
      <c r="I63" s="299">
        <f t="shared" si="16"/>
        <v>19432</v>
      </c>
      <c r="J63" s="312">
        <v>264717</v>
      </c>
      <c r="K63" s="357">
        <f t="shared" si="12"/>
        <v>7.9222129359724405E-2</v>
      </c>
      <c r="L63" s="402"/>
      <c r="M63" s="401">
        <f t="shared" ref="M63" si="19">J63+L63</f>
        <v>264717</v>
      </c>
      <c r="N63" s="402">
        <f t="shared" ref="N63" si="20">(M63-J63)/J63</f>
        <v>0</v>
      </c>
      <c r="O63" s="278" t="s">
        <v>44</v>
      </c>
      <c r="P63" s="274" t="s">
        <v>41</v>
      </c>
      <c r="Q63" s="500" t="s">
        <v>40</v>
      </c>
      <c r="R63" s="272" t="s">
        <v>39</v>
      </c>
      <c r="S63" s="265" t="s">
        <v>38</v>
      </c>
      <c r="T63"/>
    </row>
    <row r="64" spans="1:20" s="2" customFormat="1" ht="24.95" customHeight="1" x14ac:dyDescent="0.4">
      <c r="A64" s="36"/>
      <c r="C64" s="7"/>
      <c r="D64" s="313" t="s">
        <v>309</v>
      </c>
      <c r="E64" s="303">
        <f>E58+SUM(E61:E63)</f>
        <v>-778777</v>
      </c>
      <c r="F64" s="303">
        <f>F58+SUM(F61:F63)</f>
        <v>32740829</v>
      </c>
      <c r="G64" s="303">
        <f>G58+SUM(G61:G63)+1</f>
        <v>-2500000.0087999995</v>
      </c>
      <c r="H64" s="303">
        <f t="shared" ref="H64:J64" si="21">H58+SUM(H61:H63)</f>
        <v>30240829.522799999</v>
      </c>
      <c r="I64" s="303">
        <f>I58+SUM(I61:I63)</f>
        <v>762416</v>
      </c>
      <c r="J64" s="303">
        <f t="shared" si="21"/>
        <v>33563246</v>
      </c>
      <c r="K64" s="477">
        <f>(J64-F64)/F64</f>
        <v>2.5119003553636349E-2</v>
      </c>
      <c r="L64" s="303">
        <f>L58+SUM(L61:L63)</f>
        <v>-49490</v>
      </c>
      <c r="M64" s="303">
        <f>M58+SUM(M61:M63)</f>
        <v>33563246</v>
      </c>
      <c r="N64" s="477">
        <f>(M64-J64)/J64</f>
        <v>0</v>
      </c>
      <c r="O64" s="314"/>
      <c r="P64" s="283"/>
      <c r="Q64" s="283"/>
      <c r="R64" s="315"/>
      <c r="S64" s="315"/>
      <c r="T64"/>
    </row>
    <row r="65" spans="1:20" s="2" customFormat="1" ht="24.95" customHeight="1" x14ac:dyDescent="0.4">
      <c r="A65" s="36"/>
      <c r="C65" s="7"/>
      <c r="D65" s="316" t="s">
        <v>25</v>
      </c>
      <c r="E65" s="317"/>
      <c r="F65" s="295"/>
      <c r="G65" s="294"/>
      <c r="H65" s="14"/>
      <c r="I65" s="294"/>
      <c r="J65" s="294"/>
      <c r="K65" s="354"/>
      <c r="L65" s="404"/>
      <c r="M65" s="404"/>
      <c r="N65" s="404"/>
      <c r="O65" s="276"/>
      <c r="P65" s="281"/>
      <c r="Q65" s="137"/>
      <c r="R65" s="137"/>
      <c r="S65" s="137"/>
      <c r="T65"/>
    </row>
    <row r="66" spans="1:20" s="2" customFormat="1" ht="54" customHeight="1" x14ac:dyDescent="0.35">
      <c r="A66" s="36"/>
      <c r="C66" s="7"/>
      <c r="D66" s="493" t="s">
        <v>278</v>
      </c>
      <c r="E66" s="484"/>
      <c r="F66" s="485"/>
      <c r="G66" s="484">
        <v>0</v>
      </c>
      <c r="H66" s="485">
        <v>0</v>
      </c>
      <c r="I66" s="485">
        <v>79438</v>
      </c>
      <c r="J66" s="485">
        <v>79438</v>
      </c>
      <c r="K66" s="486" t="s">
        <v>226</v>
      </c>
      <c r="L66" s="501">
        <v>-51578</v>
      </c>
      <c r="M66" s="485">
        <f>J66+L66</f>
        <v>27860</v>
      </c>
      <c r="N66" s="486">
        <f t="shared" ref="N66" si="22">(M66-J66)/J66</f>
        <v>-0.64928623580654099</v>
      </c>
      <c r="O66" s="488" t="s">
        <v>284</v>
      </c>
      <c r="P66" s="489"/>
      <c r="Q66" s="490" t="s">
        <v>285</v>
      </c>
      <c r="R66" s="491" t="s">
        <v>59</v>
      </c>
      <c r="S66" s="492" t="s">
        <v>286</v>
      </c>
      <c r="T66"/>
    </row>
    <row r="67" spans="1:20" s="2" customFormat="1" ht="24.95" customHeight="1" x14ac:dyDescent="0.35">
      <c r="A67" s="36"/>
      <c r="C67" s="7"/>
      <c r="D67" s="297" t="s">
        <v>123</v>
      </c>
      <c r="E67" s="299">
        <v>7945</v>
      </c>
      <c r="F67" s="318">
        <v>7945</v>
      </c>
      <c r="G67" s="299">
        <v>0</v>
      </c>
      <c r="H67" s="319">
        <f t="shared" ref="H67:H78" si="23">F67+G67</f>
        <v>7945</v>
      </c>
      <c r="I67" s="295">
        <v>0</v>
      </c>
      <c r="J67" s="312">
        <v>0</v>
      </c>
      <c r="K67" s="502"/>
      <c r="L67" s="401"/>
      <c r="M67" s="401">
        <f t="shared" ref="M67:M78" si="24">J67+L67</f>
        <v>0</v>
      </c>
      <c r="N67" s="402" t="s">
        <v>226</v>
      </c>
      <c r="O67" s="301" t="s">
        <v>187</v>
      </c>
      <c r="P67" s="320" t="s">
        <v>253</v>
      </c>
      <c r="Q67" s="267" t="s">
        <v>121</v>
      </c>
      <c r="R67" s="265" t="s">
        <v>18</v>
      </c>
      <c r="S67" s="265" t="s">
        <v>90</v>
      </c>
      <c r="T67"/>
    </row>
    <row r="68" spans="1:20" s="2" customFormat="1" ht="25.5" x14ac:dyDescent="0.35">
      <c r="A68" s="36"/>
      <c r="C68" s="7"/>
      <c r="D68" s="483" t="s">
        <v>104</v>
      </c>
      <c r="E68" s="484">
        <v>80000</v>
      </c>
      <c r="F68" s="485">
        <v>80000</v>
      </c>
      <c r="G68" s="484">
        <v>-80000</v>
      </c>
      <c r="H68" s="485">
        <f t="shared" si="23"/>
        <v>0</v>
      </c>
      <c r="I68" s="485">
        <v>0</v>
      </c>
      <c r="J68" s="485">
        <v>0</v>
      </c>
      <c r="K68" s="486"/>
      <c r="L68" s="487"/>
      <c r="M68" s="485">
        <f t="shared" si="24"/>
        <v>0</v>
      </c>
      <c r="N68" s="497" t="s">
        <v>226</v>
      </c>
      <c r="O68" s="488" t="s">
        <v>103</v>
      </c>
      <c r="P68" s="489" t="s">
        <v>231</v>
      </c>
      <c r="Q68" s="490" t="s">
        <v>100</v>
      </c>
      <c r="R68" s="491"/>
      <c r="S68" s="492"/>
      <c r="T68"/>
    </row>
    <row r="69" spans="1:20" s="2" customFormat="1" ht="24.95" customHeight="1" x14ac:dyDescent="0.35">
      <c r="A69" s="36"/>
      <c r="C69" s="7"/>
      <c r="D69" s="297" t="s">
        <v>254</v>
      </c>
      <c r="E69" s="299">
        <v>16500</v>
      </c>
      <c r="F69" s="318">
        <f>E69</f>
        <v>16500</v>
      </c>
      <c r="G69" s="299">
        <v>0</v>
      </c>
      <c r="H69" s="319">
        <f t="shared" si="23"/>
        <v>16500</v>
      </c>
      <c r="I69" s="295">
        <v>0</v>
      </c>
      <c r="J69" s="312">
        <v>0</v>
      </c>
      <c r="K69" s="312"/>
      <c r="L69" s="401"/>
      <c r="M69" s="401">
        <f t="shared" si="24"/>
        <v>0</v>
      </c>
      <c r="N69" s="402" t="s">
        <v>226</v>
      </c>
      <c r="O69" s="301" t="s">
        <v>190</v>
      </c>
      <c r="P69" s="321" t="s">
        <v>253</v>
      </c>
      <c r="Q69" s="267" t="s">
        <v>17</v>
      </c>
      <c r="R69" s="265" t="s">
        <v>255</v>
      </c>
      <c r="S69" s="265"/>
      <c r="T69"/>
    </row>
    <row r="70" spans="1:20" s="2" customFormat="1" ht="24.95" customHeight="1" x14ac:dyDescent="0.35">
      <c r="A70" s="36"/>
      <c r="C70" s="7"/>
      <c r="D70" s="483" t="s">
        <v>251</v>
      </c>
      <c r="E70" s="484">
        <v>10000</v>
      </c>
      <c r="F70" s="485">
        <f t="shared" ref="F70:F73" si="25">E70</f>
        <v>10000</v>
      </c>
      <c r="G70" s="484">
        <v>0</v>
      </c>
      <c r="H70" s="485">
        <f t="shared" si="23"/>
        <v>10000</v>
      </c>
      <c r="I70" s="485">
        <v>0</v>
      </c>
      <c r="J70" s="485">
        <v>0</v>
      </c>
      <c r="K70" s="486"/>
      <c r="L70" s="487"/>
      <c r="M70" s="485">
        <f t="shared" si="24"/>
        <v>0</v>
      </c>
      <c r="N70" s="497" t="s">
        <v>226</v>
      </c>
      <c r="O70" s="488" t="s">
        <v>256</v>
      </c>
      <c r="P70" s="489" t="s">
        <v>253</v>
      </c>
      <c r="Q70" s="490" t="s">
        <v>257</v>
      </c>
      <c r="R70" s="491" t="s">
        <v>59</v>
      </c>
      <c r="S70" s="492" t="s">
        <v>258</v>
      </c>
      <c r="T70"/>
    </row>
    <row r="71" spans="1:20" s="2" customFormat="1" ht="24.95" customHeight="1" x14ac:dyDescent="0.35">
      <c r="A71" s="36"/>
      <c r="C71" s="7"/>
      <c r="D71" s="297" t="s">
        <v>150</v>
      </c>
      <c r="E71" s="299">
        <v>9000</v>
      </c>
      <c r="F71" s="318">
        <f t="shared" si="25"/>
        <v>9000</v>
      </c>
      <c r="G71" s="299">
        <v>0</v>
      </c>
      <c r="H71" s="319">
        <f t="shared" si="23"/>
        <v>9000</v>
      </c>
      <c r="I71" s="295">
        <v>0</v>
      </c>
      <c r="J71" s="312">
        <v>0</v>
      </c>
      <c r="K71" s="312"/>
      <c r="L71" s="401"/>
      <c r="M71" s="401">
        <f t="shared" si="24"/>
        <v>0</v>
      </c>
      <c r="N71" s="402" t="s">
        <v>226</v>
      </c>
      <c r="O71" s="353" t="s">
        <v>149</v>
      </c>
      <c r="P71" s="321" t="s">
        <v>231</v>
      </c>
      <c r="Q71" s="267" t="s">
        <v>238</v>
      </c>
      <c r="R71" s="265" t="s">
        <v>218</v>
      </c>
      <c r="S71" s="265" t="s">
        <v>146</v>
      </c>
      <c r="T71"/>
    </row>
    <row r="72" spans="1:20" s="2" customFormat="1" ht="24.95" customHeight="1" x14ac:dyDescent="0.35">
      <c r="A72" s="36"/>
      <c r="C72" s="7"/>
      <c r="D72" s="483" t="s">
        <v>213</v>
      </c>
      <c r="E72" s="484">
        <v>24000</v>
      </c>
      <c r="F72" s="485">
        <f t="shared" si="25"/>
        <v>24000</v>
      </c>
      <c r="G72" s="484">
        <v>0</v>
      </c>
      <c r="H72" s="485">
        <f t="shared" si="23"/>
        <v>24000</v>
      </c>
      <c r="I72" s="485">
        <v>0</v>
      </c>
      <c r="J72" s="485">
        <v>0</v>
      </c>
      <c r="K72" s="486"/>
      <c r="L72" s="487"/>
      <c r="M72" s="485">
        <f t="shared" si="24"/>
        <v>0</v>
      </c>
      <c r="N72" s="497" t="s">
        <v>226</v>
      </c>
      <c r="O72" s="488" t="s">
        <v>291</v>
      </c>
      <c r="P72" s="489" t="s">
        <v>253</v>
      </c>
      <c r="Q72" s="490" t="s">
        <v>259</v>
      </c>
      <c r="R72" s="491" t="s">
        <v>21</v>
      </c>
      <c r="S72" s="492" t="s">
        <v>20</v>
      </c>
    </row>
    <row r="73" spans="1:20" s="2" customFormat="1" ht="24.95" customHeight="1" x14ac:dyDescent="0.35">
      <c r="A73" s="36"/>
      <c r="C73" s="7"/>
      <c r="D73" s="297" t="s">
        <v>77</v>
      </c>
      <c r="E73" s="299">
        <v>5000</v>
      </c>
      <c r="F73" s="318">
        <f t="shared" si="25"/>
        <v>5000</v>
      </c>
      <c r="G73" s="299">
        <v>0</v>
      </c>
      <c r="H73" s="319">
        <f t="shared" si="23"/>
        <v>5000</v>
      </c>
      <c r="I73" s="295">
        <v>0</v>
      </c>
      <c r="J73" s="312">
        <v>0</v>
      </c>
      <c r="K73" s="312"/>
      <c r="L73" s="401"/>
      <c r="M73" s="401">
        <f t="shared" si="24"/>
        <v>0</v>
      </c>
      <c r="N73" s="402" t="s">
        <v>226</v>
      </c>
      <c r="O73" s="353">
        <v>652034</v>
      </c>
      <c r="P73" s="321" t="s">
        <v>231</v>
      </c>
      <c r="Q73" s="267" t="s">
        <v>76</v>
      </c>
      <c r="R73" s="265" t="s">
        <v>75</v>
      </c>
      <c r="S73" s="265" t="s">
        <v>74</v>
      </c>
    </row>
    <row r="74" spans="1:20" s="2" customFormat="1" ht="24.95" customHeight="1" x14ac:dyDescent="0.35">
      <c r="A74" s="36"/>
      <c r="C74" s="7"/>
      <c r="D74" s="483" t="s">
        <v>24</v>
      </c>
      <c r="E74" s="484">
        <v>-20000</v>
      </c>
      <c r="F74" s="485"/>
      <c r="G74" s="484">
        <v>0</v>
      </c>
      <c r="H74" s="485">
        <f t="shared" si="23"/>
        <v>0</v>
      </c>
      <c r="I74" s="485">
        <v>0</v>
      </c>
      <c r="J74" s="485">
        <v>0</v>
      </c>
      <c r="K74" s="486"/>
      <c r="L74" s="487"/>
      <c r="M74" s="485">
        <f t="shared" si="24"/>
        <v>0</v>
      </c>
      <c r="N74" s="497" t="s">
        <v>226</v>
      </c>
      <c r="O74" s="488" t="s">
        <v>223</v>
      </c>
      <c r="P74" s="489" t="s">
        <v>231</v>
      </c>
      <c r="Q74" s="490" t="s">
        <v>92</v>
      </c>
      <c r="R74" s="491" t="s">
        <v>91</v>
      </c>
      <c r="S74" s="492" t="s">
        <v>90</v>
      </c>
    </row>
    <row r="75" spans="1:20" s="2" customFormat="1" ht="24.95" customHeight="1" x14ac:dyDescent="0.35">
      <c r="A75" s="36"/>
      <c r="C75" s="7"/>
      <c r="D75" s="297" t="s">
        <v>19</v>
      </c>
      <c r="E75" s="299">
        <v>-38000</v>
      </c>
      <c r="F75" s="318"/>
      <c r="G75" s="299">
        <v>0</v>
      </c>
      <c r="H75" s="319">
        <f t="shared" si="23"/>
        <v>0</v>
      </c>
      <c r="I75" s="295">
        <v>0</v>
      </c>
      <c r="J75" s="312">
        <v>0</v>
      </c>
      <c r="K75" s="312"/>
      <c r="L75" s="401"/>
      <c r="M75" s="401">
        <f t="shared" si="24"/>
        <v>0</v>
      </c>
      <c r="N75" s="402" t="s">
        <v>226</v>
      </c>
      <c r="O75" s="301" t="s">
        <v>230</v>
      </c>
      <c r="P75" s="320" t="s">
        <v>231</v>
      </c>
      <c r="Q75" s="267" t="s">
        <v>10</v>
      </c>
      <c r="R75" s="265" t="s">
        <v>18</v>
      </c>
      <c r="S75" s="265" t="s">
        <v>242</v>
      </c>
    </row>
    <row r="76" spans="1:20" s="2" customFormat="1" ht="24.95" customHeight="1" x14ac:dyDescent="0.35">
      <c r="A76" s="36"/>
      <c r="C76" s="7"/>
      <c r="D76" s="483" t="s">
        <v>201</v>
      </c>
      <c r="E76" s="484">
        <v>-1500</v>
      </c>
      <c r="F76" s="485">
        <v>13500</v>
      </c>
      <c r="G76" s="484">
        <v>0</v>
      </c>
      <c r="H76" s="485">
        <f t="shared" si="23"/>
        <v>13500</v>
      </c>
      <c r="I76" s="485">
        <v>0</v>
      </c>
      <c r="J76" s="485">
        <v>0</v>
      </c>
      <c r="K76" s="486"/>
      <c r="L76" s="487"/>
      <c r="M76" s="485">
        <f t="shared" si="24"/>
        <v>0</v>
      </c>
      <c r="N76" s="497" t="s">
        <v>226</v>
      </c>
      <c r="O76" s="488" t="s">
        <v>196</v>
      </c>
      <c r="P76" s="489" t="s">
        <v>231</v>
      </c>
      <c r="Q76" s="490" t="s">
        <v>203</v>
      </c>
      <c r="R76" s="491" t="s">
        <v>59</v>
      </c>
      <c r="S76" s="492" t="s">
        <v>202</v>
      </c>
    </row>
    <row r="77" spans="1:20" s="2" customFormat="1" ht="24.95" customHeight="1" x14ac:dyDescent="0.35">
      <c r="A77" s="36"/>
      <c r="C77" s="7"/>
      <c r="D77" s="297" t="s">
        <v>128</v>
      </c>
      <c r="E77" s="299">
        <v>-12200</v>
      </c>
      <c r="F77" s="318"/>
      <c r="G77" s="299">
        <v>0</v>
      </c>
      <c r="H77" s="319">
        <f t="shared" si="23"/>
        <v>0</v>
      </c>
      <c r="I77" s="295">
        <v>0</v>
      </c>
      <c r="J77" s="312">
        <v>0</v>
      </c>
      <c r="K77" s="312"/>
      <c r="L77" s="401"/>
      <c r="M77" s="401">
        <f t="shared" si="24"/>
        <v>0</v>
      </c>
      <c r="N77" s="402" t="s">
        <v>226</v>
      </c>
      <c r="O77" s="353" t="s">
        <v>127</v>
      </c>
      <c r="P77" s="320" t="s">
        <v>231</v>
      </c>
      <c r="Q77" s="267" t="s">
        <v>126</v>
      </c>
      <c r="R77" s="265" t="s">
        <v>18</v>
      </c>
      <c r="S77" s="265" t="s">
        <v>212</v>
      </c>
    </row>
    <row r="78" spans="1:20" s="2" customFormat="1" ht="24.95" customHeight="1" x14ac:dyDescent="0.35">
      <c r="A78" s="36"/>
      <c r="C78" s="7"/>
      <c r="D78" s="483" t="s">
        <v>216</v>
      </c>
      <c r="E78" s="484">
        <v>-5000</v>
      </c>
      <c r="F78" s="485">
        <v>30000</v>
      </c>
      <c r="G78" s="484">
        <v>0</v>
      </c>
      <c r="H78" s="485">
        <f t="shared" si="23"/>
        <v>30000</v>
      </c>
      <c r="I78" s="485">
        <v>0</v>
      </c>
      <c r="J78" s="485">
        <v>0</v>
      </c>
      <c r="K78" s="486"/>
      <c r="L78" s="487"/>
      <c r="M78" s="485">
        <f t="shared" si="24"/>
        <v>0</v>
      </c>
      <c r="N78" s="497" t="s">
        <v>226</v>
      </c>
      <c r="O78" s="488" t="s">
        <v>84</v>
      </c>
      <c r="P78" s="489" t="s">
        <v>231</v>
      </c>
      <c r="Q78" s="490" t="s">
        <v>38</v>
      </c>
      <c r="R78" s="491" t="s">
        <v>59</v>
      </c>
      <c r="S78" s="492" t="s">
        <v>221</v>
      </c>
    </row>
    <row r="79" spans="1:20" s="22" customFormat="1" ht="24.95" customHeight="1" x14ac:dyDescent="0.4">
      <c r="A79" s="29"/>
      <c r="C79" s="28"/>
      <c r="D79" s="322" t="s">
        <v>1</v>
      </c>
      <c r="E79" s="323">
        <f>SUM(E67:E78)</f>
        <v>75745</v>
      </c>
      <c r="F79" s="323">
        <f>SUM(F67:F78)</f>
        <v>195945</v>
      </c>
      <c r="G79" s="323">
        <f>SUM(G67:G78)</f>
        <v>-80000</v>
      </c>
      <c r="H79" s="323">
        <f>SUM(H66:H78)</f>
        <v>115945</v>
      </c>
      <c r="I79" s="323">
        <f>SUM(I66:I78)</f>
        <v>79438</v>
      </c>
      <c r="J79" s="323">
        <f>SUM(J66:J78)</f>
        <v>79438</v>
      </c>
      <c r="K79" s="477">
        <f>(J79-F79)/F79</f>
        <v>-0.59459031871188339</v>
      </c>
      <c r="L79" s="323">
        <f>SUM(L66:L78)</f>
        <v>-51578</v>
      </c>
      <c r="M79" s="323">
        <f>SUM(M66:M78)</f>
        <v>27860</v>
      </c>
      <c r="N79" s="477">
        <f>(M79-J79)/J79</f>
        <v>-0.64928623580654099</v>
      </c>
      <c r="O79" s="323"/>
      <c r="P79" s="323"/>
      <c r="Q79" s="324"/>
      <c r="R79" s="324"/>
      <c r="S79" s="324"/>
      <c r="T79" s="2"/>
    </row>
    <row r="80" spans="1:20" ht="24.75" customHeight="1" x14ac:dyDescent="0.4">
      <c r="C80" s="7"/>
      <c r="D80" s="325" t="s">
        <v>0</v>
      </c>
      <c r="E80" s="325">
        <f>E64+E79</f>
        <v>-703032</v>
      </c>
      <c r="F80" s="325">
        <f t="shared" ref="F80:N80" si="26">F64+F79</f>
        <v>32936774</v>
      </c>
      <c r="G80" s="325">
        <f t="shared" si="26"/>
        <v>-2580000.0087999995</v>
      </c>
      <c r="H80" s="325">
        <f t="shared" si="26"/>
        <v>30356774.522799999</v>
      </c>
      <c r="I80" s="325">
        <f t="shared" si="26"/>
        <v>841854</v>
      </c>
      <c r="J80" s="325">
        <f t="shared" si="26"/>
        <v>33642684</v>
      </c>
      <c r="K80" s="498">
        <f>(J80-F80)/F80</f>
        <v>2.1432275061303817E-2</v>
      </c>
      <c r="L80" s="325">
        <f>L64+L79</f>
        <v>-101068</v>
      </c>
      <c r="M80" s="325">
        <f>M64+M79</f>
        <v>33591106</v>
      </c>
      <c r="N80" s="498">
        <f>(M80-J80)/J80</f>
        <v>-1.533111924125911E-3</v>
      </c>
      <c r="O80" s="325"/>
      <c r="P80" s="325"/>
      <c r="Q80" s="325"/>
      <c r="R80" s="325"/>
      <c r="S80" s="325"/>
      <c r="T80" s="2"/>
    </row>
    <row r="81" spans="1:20" s="9" customFormat="1" ht="15" customHeight="1" x14ac:dyDescent="0.35">
      <c r="A81" s="15"/>
      <c r="C81" s="7"/>
      <c r="D81" s="12"/>
      <c r="O81" s="2"/>
      <c r="P81" s="2"/>
      <c r="Q81" s="2"/>
      <c r="R81" s="2"/>
      <c r="S81" s="2"/>
      <c r="T81" s="2"/>
    </row>
    <row r="82" spans="1:20" ht="44.25" customHeight="1" x14ac:dyDescent="0.3">
      <c r="D82"/>
      <c r="O82" s="2"/>
      <c r="P82" s="2"/>
      <c r="Q82" s="2"/>
      <c r="R82" s="2"/>
      <c r="S82" s="2"/>
      <c r="T82" s="2"/>
    </row>
    <row r="83" spans="1:20" ht="22.5" thickBot="1" x14ac:dyDescent="0.35">
      <c r="D83"/>
      <c r="O83" s="51"/>
      <c r="P83" s="51"/>
      <c r="Q83" s="51"/>
      <c r="R83" s="51"/>
      <c r="S83" s="51"/>
      <c r="T83" s="22"/>
    </row>
    <row r="84" spans="1:20" ht="25.5" hidden="1" x14ac:dyDescent="0.35">
      <c r="D84"/>
      <c r="H84" s="8"/>
      <c r="I84" s="367" t="s">
        <v>293</v>
      </c>
      <c r="J84" s="358">
        <f>J50+J52+J53+J56+J57</f>
        <v>32646433</v>
      </c>
      <c r="O84" s="2"/>
      <c r="P84" s="2"/>
      <c r="Q84" s="2"/>
      <c r="R84" s="2"/>
      <c r="S84" s="2"/>
    </row>
    <row r="85" spans="1:20" s="51" customFormat="1" ht="26.25" hidden="1" x14ac:dyDescent="0.4">
      <c r="A85" s="58"/>
      <c r="C85" s="22"/>
      <c r="D85"/>
      <c r="E85" s="463"/>
      <c r="F85" s="463"/>
      <c r="G85" s="327"/>
      <c r="H85" s="365"/>
      <c r="I85" s="375" t="s">
        <v>294</v>
      </c>
      <c r="J85" s="366">
        <v>31361334</v>
      </c>
      <c r="K85" s="370">
        <f>(J85*0.01)*0.9</f>
        <v>282252.00600000005</v>
      </c>
      <c r="L85" s="370"/>
      <c r="M85" s="370"/>
      <c r="N85" s="370"/>
      <c r="O85" s="371">
        <v>0.01</v>
      </c>
      <c r="P85" s="2"/>
      <c r="Q85" s="2"/>
      <c r="R85" s="2"/>
      <c r="S85" s="2"/>
      <c r="T85" s="9"/>
    </row>
    <row r="86" spans="1:20" ht="25.5" hidden="1" x14ac:dyDescent="0.35">
      <c r="D86"/>
      <c r="H86" s="8"/>
      <c r="I86" s="367" t="s">
        <v>295</v>
      </c>
      <c r="J86" s="358">
        <f>J85-J84</f>
        <v>-1285099</v>
      </c>
      <c r="K86" s="372">
        <f>(J86*-1/K85)/100</f>
        <v>4.553019899529074E-2</v>
      </c>
      <c r="L86" s="372"/>
      <c r="M86" s="372"/>
      <c r="N86" s="372"/>
      <c r="O86" s="373"/>
      <c r="P86" s="2"/>
      <c r="Q86" s="2"/>
      <c r="R86" s="2"/>
      <c r="S86" s="2"/>
      <c r="T86" s="9"/>
    </row>
    <row r="87" spans="1:20" s="329" customFormat="1" hidden="1" x14ac:dyDescent="0.3">
      <c r="A87" s="328"/>
      <c r="C87" s="326"/>
      <c r="D87"/>
      <c r="O87" s="2"/>
      <c r="P87" s="2"/>
      <c r="Q87" s="2"/>
      <c r="R87" s="2"/>
      <c r="S87" s="2"/>
      <c r="T87" s="9"/>
    </row>
    <row r="88" spans="1:20" hidden="1" x14ac:dyDescent="0.3">
      <c r="D88"/>
      <c r="O88" s="2"/>
      <c r="P88" s="2"/>
      <c r="Q88" s="2"/>
      <c r="R88" s="2"/>
      <c r="S88" s="2"/>
      <c r="T88" s="9"/>
    </row>
    <row r="89" spans="1:20" s="2" customFormat="1" ht="26.25" hidden="1" x14ac:dyDescent="0.4">
      <c r="A89" s="5"/>
      <c r="B89" s="1"/>
      <c r="D89"/>
      <c r="I89" s="375" t="s">
        <v>301</v>
      </c>
      <c r="J89" s="366">
        <v>32157802</v>
      </c>
      <c r="K89" s="370">
        <f>(J89*0.01)*0.9</f>
        <v>289420.21800000005</v>
      </c>
      <c r="L89" s="370"/>
      <c r="M89" s="370"/>
      <c r="N89" s="370"/>
      <c r="O89" s="368">
        <v>0.01</v>
      </c>
      <c r="T89" s="1"/>
    </row>
    <row r="90" spans="1:20" s="2" customFormat="1" ht="23.25" hidden="1" x14ac:dyDescent="0.35">
      <c r="A90" s="5"/>
      <c r="B90" s="1"/>
      <c r="D90"/>
      <c r="J90" s="374">
        <f>J89-J84</f>
        <v>-488631</v>
      </c>
      <c r="K90" s="372">
        <f>(J90*-1/K89)/100</f>
        <v>1.6883098332819303E-2</v>
      </c>
      <c r="L90" s="372"/>
      <c r="M90" s="372"/>
      <c r="N90" s="372"/>
      <c r="O90" s="369"/>
      <c r="T90" s="1"/>
    </row>
    <row r="91" spans="1:20" s="2" customFormat="1" ht="22.5" hidden="1" thickBot="1" x14ac:dyDescent="0.35">
      <c r="A91" s="5"/>
      <c r="B91" s="1"/>
      <c r="D91"/>
      <c r="T91" s="1"/>
    </row>
    <row r="92" spans="1:20" s="2" customFormat="1" ht="27.75" x14ac:dyDescent="0.4">
      <c r="A92" s="5"/>
      <c r="B92" s="1"/>
      <c r="D92"/>
      <c r="H92" s="377"/>
      <c r="I92" s="378" t="s">
        <v>304</v>
      </c>
      <c r="J92" s="379">
        <v>32646433</v>
      </c>
      <c r="K92" s="403">
        <f>(J92*0.01)*0.9</f>
        <v>293817.897</v>
      </c>
      <c r="L92" s="403"/>
      <c r="M92" s="379">
        <v>32646433</v>
      </c>
      <c r="N92" s="403"/>
      <c r="O92" s="380">
        <v>0.01</v>
      </c>
      <c r="P92" s="330" t="s">
        <v>260</v>
      </c>
      <c r="Q92" s="331"/>
      <c r="R92" s="332"/>
      <c r="T92" s="51"/>
    </row>
    <row r="93" spans="1:20" s="2" customFormat="1" ht="34.5" customHeight="1" thickBot="1" x14ac:dyDescent="0.4">
      <c r="A93" s="5"/>
      <c r="B93" s="1"/>
      <c r="D93" s="460" t="s">
        <v>261</v>
      </c>
      <c r="E93" s="461"/>
      <c r="F93" s="462"/>
      <c r="G93"/>
      <c r="H93" s="410"/>
      <c r="I93" s="411" t="s">
        <v>295</v>
      </c>
      <c r="J93" s="409">
        <f>J92-J84</f>
        <v>0</v>
      </c>
      <c r="K93" s="412">
        <f>(J93*-1/K92)/100</f>
        <v>0</v>
      </c>
      <c r="L93" s="412"/>
      <c r="M93" s="409">
        <f>M92-M58</f>
        <v>0</v>
      </c>
      <c r="N93" s="381"/>
      <c r="O93" s="382"/>
      <c r="P93" s="391" t="s">
        <v>302</v>
      </c>
      <c r="Q93" s="344"/>
      <c r="R93" s="392">
        <v>70.760000000000005</v>
      </c>
      <c r="S93"/>
      <c r="T93"/>
    </row>
    <row r="94" spans="1:20" s="2" customFormat="1" ht="35.25" customHeight="1" x14ac:dyDescent="0.3">
      <c r="A94" s="5"/>
      <c r="B94" s="1"/>
      <c r="D94" s="336" t="s">
        <v>262</v>
      </c>
      <c r="E94" s="344"/>
      <c r="F94" s="359">
        <v>414109</v>
      </c>
      <c r="N94" s="282"/>
      <c r="P94" s="391" t="s">
        <v>303</v>
      </c>
      <c r="Q94" s="344"/>
      <c r="R94" s="392">
        <f>+R93*(1+K93)</f>
        <v>70.760000000000005</v>
      </c>
      <c r="S94"/>
      <c r="T94"/>
    </row>
    <row r="95" spans="1:20" s="2" customFormat="1" x14ac:dyDescent="0.3">
      <c r="A95" s="5"/>
      <c r="B95" s="1"/>
      <c r="D95" s="336" t="s">
        <v>296</v>
      </c>
      <c r="E95" s="344"/>
      <c r="F95" s="359">
        <v>500000</v>
      </c>
      <c r="P95" s="333"/>
      <c r="Q95" s="344"/>
      <c r="R95" s="392"/>
      <c r="S95"/>
      <c r="T95"/>
    </row>
    <row r="96" spans="1:20" s="2" customFormat="1" x14ac:dyDescent="0.3">
      <c r="A96" s="5"/>
      <c r="B96" s="1"/>
      <c r="D96" s="336" t="s">
        <v>263</v>
      </c>
      <c r="E96" s="344"/>
      <c r="F96" s="359">
        <v>-120200</v>
      </c>
      <c r="P96" s="333" t="s">
        <v>264</v>
      </c>
      <c r="Q96" s="334">
        <f>+R94-R93</f>
        <v>0</v>
      </c>
      <c r="R96" s="335" t="s">
        <v>265</v>
      </c>
      <c r="S96"/>
      <c r="T96"/>
    </row>
    <row r="97" spans="1:21" s="2" customFormat="1" x14ac:dyDescent="0.3">
      <c r="A97" s="5"/>
      <c r="B97" s="1"/>
      <c r="D97" s="360" t="s">
        <v>298</v>
      </c>
      <c r="E97" s="344"/>
      <c r="F97" s="359">
        <v>-134454</v>
      </c>
      <c r="P97" s="338" t="s">
        <v>266</v>
      </c>
      <c r="Q97" s="334">
        <f>+Q96*12</f>
        <v>0</v>
      </c>
      <c r="R97" s="335" t="s">
        <v>267</v>
      </c>
      <c r="S97"/>
      <c r="T97"/>
    </row>
    <row r="98" spans="1:21" s="2" customFormat="1" ht="48" customHeight="1" x14ac:dyDescent="0.35">
      <c r="A98" s="5"/>
      <c r="B98" s="1"/>
      <c r="D98" s="337" t="s">
        <v>297</v>
      </c>
      <c r="E98" s="344"/>
      <c r="F98" s="361">
        <f>SUM(F94:F97)</f>
        <v>659455</v>
      </c>
      <c r="G98" s="442" t="s">
        <v>299</v>
      </c>
      <c r="H98" s="443"/>
      <c r="I98" s="443"/>
      <c r="O98" s="1"/>
      <c r="P98" s="338" t="s">
        <v>266</v>
      </c>
      <c r="Q98" s="334">
        <f>+Q96*15</f>
        <v>0</v>
      </c>
      <c r="R98" s="335" t="s">
        <v>269</v>
      </c>
      <c r="S98"/>
      <c r="T98"/>
    </row>
    <row r="99" spans="1:21" s="2" customFormat="1" ht="45.75" customHeight="1" x14ac:dyDescent="0.3">
      <c r="A99" s="5"/>
      <c r="B99" s="1"/>
      <c r="D99" s="2" t="s">
        <v>311</v>
      </c>
      <c r="F99" s="362">
        <v>-330000</v>
      </c>
      <c r="O99" s="1"/>
      <c r="P99" s="339" t="s">
        <v>270</v>
      </c>
      <c r="Q99" s="340" t="s">
        <v>271</v>
      </c>
      <c r="R99" s="341"/>
      <c r="S99"/>
      <c r="T99"/>
    </row>
    <row r="100" spans="1:21" s="2" customFormat="1" x14ac:dyDescent="0.3">
      <c r="A100" s="5"/>
      <c r="B100" s="1"/>
      <c r="D100" s="336" t="s">
        <v>268</v>
      </c>
      <c r="E100" s="344"/>
      <c r="F100" s="362">
        <v>-115945</v>
      </c>
      <c r="P100" s="342">
        <f>+R93*12</f>
        <v>849.12000000000012</v>
      </c>
      <c r="Q100" s="343">
        <f>+R94*12</f>
        <v>849.12000000000012</v>
      </c>
      <c r="R100" s="335" t="s">
        <v>273</v>
      </c>
      <c r="S100"/>
      <c r="T100"/>
    </row>
    <row r="101" spans="1:21" s="2" customFormat="1" ht="28.5" customHeight="1" x14ac:dyDescent="0.35">
      <c r="A101" s="5"/>
      <c r="B101" s="1"/>
      <c r="D101" s="1" t="s">
        <v>305</v>
      </c>
      <c r="E101" s="1"/>
      <c r="F101" s="383">
        <v>3138563</v>
      </c>
      <c r="K101"/>
      <c r="L101"/>
      <c r="M101"/>
      <c r="N101"/>
      <c r="P101" s="342">
        <f>+R93*15</f>
        <v>1061.4000000000001</v>
      </c>
      <c r="Q101" s="343">
        <f>+R94*15</f>
        <v>1061.4000000000001</v>
      </c>
      <c r="R101" s="335" t="s">
        <v>274</v>
      </c>
      <c r="S101"/>
      <c r="T101"/>
    </row>
    <row r="102" spans="1:21" s="2" customFormat="1" ht="55.5" customHeight="1" thickBot="1" x14ac:dyDescent="0.4">
      <c r="A102" s="5"/>
      <c r="B102" s="1"/>
      <c r="D102" s="337" t="s">
        <v>272</v>
      </c>
      <c r="E102" s="344"/>
      <c r="F102" s="363">
        <f>+F98+F99+F100+F101</f>
        <v>3352073</v>
      </c>
      <c r="G102" s="442" t="s">
        <v>300</v>
      </c>
      <c r="H102" s="443"/>
      <c r="I102" s="398"/>
      <c r="K102"/>
      <c r="L102"/>
      <c r="M102"/>
      <c r="N102"/>
      <c r="P102" s="348"/>
      <c r="Q102" s="393"/>
      <c r="R102" s="349"/>
      <c r="S102"/>
      <c r="T102"/>
    </row>
    <row r="103" spans="1:21" s="2" customFormat="1" ht="23.25" thickTop="1" thickBot="1" x14ac:dyDescent="0.35">
      <c r="A103" s="5"/>
      <c r="B103" s="1"/>
      <c r="D103" s="345"/>
      <c r="E103" s="346"/>
      <c r="F103" s="347"/>
      <c r="K103"/>
      <c r="L103"/>
      <c r="M103"/>
      <c r="N103"/>
      <c r="O103"/>
      <c r="P103"/>
      <c r="Q103"/>
      <c r="R103"/>
      <c r="S103"/>
      <c r="T103"/>
    </row>
    <row r="104" spans="1:21" s="2" customFormat="1" ht="27.75" x14ac:dyDescent="0.4">
      <c r="A104" s="5"/>
      <c r="B104" s="1"/>
      <c r="O104"/>
      <c r="P104" s="330" t="s">
        <v>275</v>
      </c>
      <c r="Q104" s="331"/>
      <c r="R104" s="332"/>
      <c r="S104"/>
      <c r="T104"/>
      <c r="U104"/>
    </row>
    <row r="105" spans="1:21" s="2" customFormat="1" x14ac:dyDescent="0.3">
      <c r="A105" s="5"/>
      <c r="B105" s="1"/>
      <c r="F105" s="385" t="s">
        <v>306</v>
      </c>
      <c r="G105" s="386"/>
      <c r="H105" s="387"/>
      <c r="O105"/>
      <c r="P105" s="391" t="s">
        <v>302</v>
      </c>
      <c r="Q105" s="344"/>
      <c r="R105" s="392">
        <v>77.84</v>
      </c>
      <c r="S105"/>
      <c r="T105"/>
      <c r="U105"/>
    </row>
    <row r="106" spans="1:21" s="2" customFormat="1" x14ac:dyDescent="0.3">
      <c r="A106" s="5"/>
      <c r="B106" s="1"/>
      <c r="D106" s="1"/>
      <c r="F106" s="390">
        <f>F102/J92</f>
        <v>0.10267807818391675</v>
      </c>
      <c r="G106" s="388" t="s">
        <v>307</v>
      </c>
      <c r="H106" s="389"/>
      <c r="I106" s="384"/>
      <c r="P106" s="391" t="s">
        <v>303</v>
      </c>
      <c r="Q106" s="394"/>
      <c r="R106" s="392">
        <f>+R105*(1+K93)</f>
        <v>77.84</v>
      </c>
      <c r="S106"/>
      <c r="T106"/>
      <c r="U106"/>
    </row>
    <row r="107" spans="1:21" s="2" customFormat="1" x14ac:dyDescent="0.3">
      <c r="A107" s="5"/>
      <c r="B107" s="1"/>
      <c r="D107" s="1"/>
      <c r="I107"/>
      <c r="P107" s="333" t="s">
        <v>264</v>
      </c>
      <c r="Q107" s="334">
        <f>+R106-R105</f>
        <v>0</v>
      </c>
      <c r="R107" s="335" t="s">
        <v>265</v>
      </c>
      <c r="S107"/>
      <c r="T107"/>
      <c r="U107"/>
    </row>
    <row r="108" spans="1:21" x14ac:dyDescent="0.3">
      <c r="P108" s="338" t="s">
        <v>266</v>
      </c>
      <c r="Q108" s="334">
        <f>+Q107*12</f>
        <v>0</v>
      </c>
      <c r="R108" s="335" t="s">
        <v>267</v>
      </c>
      <c r="S108"/>
      <c r="T108"/>
      <c r="U108"/>
    </row>
    <row r="109" spans="1:21" ht="54.75" customHeight="1" x14ac:dyDescent="0.3">
      <c r="P109" s="338" t="s">
        <v>227</v>
      </c>
      <c r="Q109" s="334" t="s">
        <v>227</v>
      </c>
      <c r="R109" s="335" t="s">
        <v>227</v>
      </c>
      <c r="S109"/>
      <c r="T109"/>
      <c r="U109"/>
    </row>
    <row r="110" spans="1:21" x14ac:dyDescent="0.3">
      <c r="I110" s="2"/>
      <c r="J110" s="2"/>
      <c r="K110" s="2"/>
      <c r="L110" s="2"/>
      <c r="M110" s="2"/>
      <c r="N110" s="2"/>
      <c r="P110" s="339" t="s">
        <v>270</v>
      </c>
      <c r="Q110" s="340" t="s">
        <v>271</v>
      </c>
      <c r="R110" s="341"/>
      <c r="S110"/>
      <c r="T110"/>
      <c r="U110"/>
    </row>
    <row r="111" spans="1:21" x14ac:dyDescent="0.3">
      <c r="P111" s="342">
        <f>+R105*12</f>
        <v>934.08</v>
      </c>
      <c r="Q111" s="343">
        <f>+R106*12</f>
        <v>934.08</v>
      </c>
      <c r="R111" s="335" t="s">
        <v>273</v>
      </c>
      <c r="S111"/>
      <c r="T111"/>
      <c r="U111"/>
    </row>
    <row r="112" spans="1:21" ht="22.5" thickBot="1" x14ac:dyDescent="0.35">
      <c r="P112" s="395" t="s">
        <v>227</v>
      </c>
      <c r="Q112" s="396" t="s">
        <v>227</v>
      </c>
      <c r="R112" s="397" t="s">
        <v>227</v>
      </c>
      <c r="S112"/>
      <c r="T112"/>
      <c r="U112"/>
    </row>
    <row r="113" spans="8:21" x14ac:dyDescent="0.3">
      <c r="O113"/>
      <c r="P113"/>
      <c r="Q113"/>
      <c r="R113"/>
      <c r="S113"/>
      <c r="T113"/>
      <c r="U113"/>
    </row>
    <row r="114" spans="8:21" x14ac:dyDescent="0.3">
      <c r="O114"/>
      <c r="P114"/>
      <c r="Q114"/>
      <c r="R114"/>
      <c r="S114"/>
      <c r="T114"/>
      <c r="U114"/>
    </row>
    <row r="115" spans="8:21" x14ac:dyDescent="0.3">
      <c r="O115"/>
      <c r="P115"/>
      <c r="Q115"/>
      <c r="R115"/>
      <c r="S115"/>
      <c r="T115"/>
      <c r="U115"/>
    </row>
    <row r="116" spans="8:21" x14ac:dyDescent="0.3">
      <c r="O116"/>
      <c r="P116"/>
      <c r="Q116"/>
      <c r="R116"/>
      <c r="S116"/>
      <c r="T116"/>
      <c r="U116"/>
    </row>
    <row r="117" spans="8:21" x14ac:dyDescent="0.3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8:21" x14ac:dyDescent="0.3">
      <c r="H118"/>
      <c r="I118"/>
      <c r="J118"/>
      <c r="K118"/>
      <c r="L118"/>
      <c r="M118"/>
      <c r="N118"/>
      <c r="S118"/>
      <c r="T118"/>
      <c r="U118"/>
    </row>
    <row r="119" spans="8:21" x14ac:dyDescent="0.3">
      <c r="H119"/>
      <c r="I119"/>
      <c r="J119"/>
      <c r="K119"/>
      <c r="L119"/>
      <c r="M119"/>
      <c r="N119"/>
      <c r="S119"/>
      <c r="T119"/>
      <c r="U119"/>
    </row>
    <row r="120" spans="8:21" x14ac:dyDescent="0.3">
      <c r="H120"/>
      <c r="I120"/>
      <c r="J120"/>
      <c r="K120"/>
      <c r="L120"/>
      <c r="M120"/>
      <c r="N120"/>
      <c r="O120"/>
      <c r="P120"/>
      <c r="Q120"/>
      <c r="R120" s="282"/>
      <c r="S120"/>
      <c r="T120"/>
      <c r="U120"/>
    </row>
    <row r="121" spans="8:21" x14ac:dyDescent="0.3">
      <c r="H121"/>
      <c r="I121"/>
      <c r="J121"/>
      <c r="K121"/>
      <c r="L121"/>
      <c r="M121"/>
      <c r="N121"/>
      <c r="O121"/>
      <c r="P121"/>
      <c r="Q121"/>
      <c r="R121" s="282"/>
      <c r="S121"/>
      <c r="T121"/>
      <c r="U121"/>
    </row>
    <row r="122" spans="8:21" x14ac:dyDescent="0.3">
      <c r="H122"/>
      <c r="I122"/>
      <c r="J122"/>
      <c r="K122"/>
      <c r="L122"/>
      <c r="M122"/>
      <c r="N122"/>
      <c r="O122"/>
      <c r="P122"/>
      <c r="Q122"/>
      <c r="S122"/>
      <c r="T122"/>
      <c r="U122"/>
    </row>
    <row r="123" spans="8:21" x14ac:dyDescent="0.3">
      <c r="H123"/>
      <c r="I123"/>
      <c r="J123"/>
      <c r="K123"/>
      <c r="L123"/>
      <c r="M123"/>
      <c r="N123"/>
      <c r="O123"/>
      <c r="P123"/>
      <c r="Q123"/>
      <c r="S123"/>
      <c r="T123"/>
      <c r="U123"/>
    </row>
    <row r="124" spans="8:21" x14ac:dyDescent="0.3">
      <c r="H124"/>
      <c r="I124"/>
      <c r="J124"/>
      <c r="K124"/>
      <c r="L124"/>
      <c r="M124"/>
      <c r="N124"/>
      <c r="O124"/>
      <c r="P124"/>
      <c r="Q124"/>
    </row>
    <row r="125" spans="8:21" x14ac:dyDescent="0.3">
      <c r="H125"/>
      <c r="I125"/>
      <c r="J125"/>
      <c r="K125"/>
      <c r="L125"/>
      <c r="M125"/>
      <c r="N125"/>
      <c r="O125"/>
      <c r="P125"/>
      <c r="Q125"/>
    </row>
    <row r="126" spans="8:21" x14ac:dyDescent="0.3">
      <c r="H126"/>
      <c r="I126"/>
      <c r="J126"/>
      <c r="K126"/>
      <c r="L126"/>
      <c r="M126"/>
      <c r="N126"/>
      <c r="O126"/>
      <c r="P126"/>
      <c r="Q126"/>
    </row>
    <row r="127" spans="8:21" x14ac:dyDescent="0.3">
      <c r="H127"/>
      <c r="I127"/>
      <c r="J127"/>
      <c r="K127"/>
      <c r="L127"/>
      <c r="M127"/>
      <c r="N127"/>
      <c r="O127"/>
      <c r="P127"/>
      <c r="Q127"/>
    </row>
    <row r="128" spans="8:21" x14ac:dyDescent="0.3">
      <c r="O128"/>
      <c r="P128"/>
      <c r="Q128"/>
    </row>
    <row r="129" spans="16:17" x14ac:dyDescent="0.3">
      <c r="P129"/>
      <c r="Q129"/>
    </row>
  </sheetData>
  <mergeCells count="22">
    <mergeCell ref="D93:F93"/>
    <mergeCell ref="S10:S13"/>
    <mergeCell ref="E85:F85"/>
    <mergeCell ref="L11:N11"/>
    <mergeCell ref="L10:N10"/>
    <mergeCell ref="M12:M13"/>
    <mergeCell ref="G102:H102"/>
    <mergeCell ref="D5:S5"/>
    <mergeCell ref="D6:S6"/>
    <mergeCell ref="D7:S7"/>
    <mergeCell ref="E10:F10"/>
    <mergeCell ref="G10:H10"/>
    <mergeCell ref="O10:O13"/>
    <mergeCell ref="P10:P13"/>
    <mergeCell ref="Q10:Q13"/>
    <mergeCell ref="R10:R13"/>
    <mergeCell ref="I10:K10"/>
    <mergeCell ref="I11:K11"/>
    <mergeCell ref="J12:J13"/>
    <mergeCell ref="G11:H11"/>
    <mergeCell ref="G98:I98"/>
    <mergeCell ref="E11:F11"/>
  </mergeCells>
  <pageMargins left="0.25" right="0.25" top="0.75" bottom="0.5" header="0.3" footer="0.3"/>
  <pageSetup scale="26" orientation="landscape" r:id="rId1"/>
  <headerFooter>
    <oddFooter>&amp;L&amp;P</oddFooter>
  </headerFooter>
  <rowBreaks count="1" manualBreakCount="1">
    <brk id="9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7"/>
  <sheetViews>
    <sheetView topLeftCell="C1" zoomScale="60" zoomScaleNormal="60" workbookViewId="0">
      <selection activeCell="B7" sqref="B7:Q7"/>
    </sheetView>
  </sheetViews>
  <sheetFormatPr defaultColWidth="9.140625" defaultRowHeight="25.5" x14ac:dyDescent="0.35"/>
  <cols>
    <col min="1" max="1" width="20.7109375" style="5" hidden="1" customWidth="1"/>
    <col min="2" max="2" width="22.28515625" style="1" hidden="1" customWidth="1"/>
    <col min="3" max="3" width="3.7109375" style="2" customWidth="1"/>
    <col min="4" max="4" width="80.42578125" style="1" bestFit="1" customWidth="1"/>
    <col min="5" max="5" width="25.7109375" style="4" customWidth="1"/>
    <col min="6" max="6" width="1.7109375" style="2" customWidth="1"/>
    <col min="7" max="7" width="25.7109375" style="1" customWidth="1"/>
    <col min="8" max="8" width="25.7109375" style="4" customWidth="1"/>
    <col min="9" max="9" width="1.7109375" style="2" customWidth="1"/>
    <col min="10" max="10" width="25.7109375" style="3" customWidth="1"/>
    <col min="11" max="11" width="25.7109375" style="1" customWidth="1"/>
    <col min="12" max="12" width="1.85546875" style="2" customWidth="1"/>
    <col min="13" max="13" width="25.7109375" style="2" customWidth="1"/>
    <col min="14" max="14" width="25.7109375" style="3" customWidth="1"/>
    <col min="15" max="15" width="2.28515625" style="2" customWidth="1"/>
    <col min="16" max="17" width="19.85546875" style="8" bestFit="1" customWidth="1"/>
    <col min="18" max="18" width="1.7109375" style="2" customWidth="1"/>
    <col min="19" max="19" width="38.7109375" style="8" bestFit="1" customWidth="1"/>
    <col min="20" max="20" width="40.140625" style="8" bestFit="1" customWidth="1"/>
    <col min="21" max="21" width="35.28515625" style="8" bestFit="1" customWidth="1"/>
    <col min="22" max="22" width="20.7109375" style="1" customWidth="1"/>
    <col min="23" max="23" width="19.85546875" style="1" bestFit="1" customWidth="1"/>
    <col min="24" max="16384" width="9.140625" style="1"/>
  </cols>
  <sheetData>
    <row r="1" spans="1:23" ht="14.25" customHeight="1" x14ac:dyDescent="0.35">
      <c r="D1" s="9"/>
      <c r="E1" s="106"/>
      <c r="F1" s="9"/>
      <c r="G1" s="9"/>
      <c r="H1" s="106"/>
      <c r="I1" s="9"/>
      <c r="J1" s="103"/>
      <c r="K1" s="9"/>
      <c r="L1" s="9"/>
      <c r="M1" s="9"/>
      <c r="N1" s="103"/>
      <c r="O1" s="9"/>
      <c r="R1" s="9"/>
    </row>
    <row r="2" spans="1:23" x14ac:dyDescent="0.35">
      <c r="D2" s="9"/>
      <c r="E2" s="106"/>
      <c r="F2" s="9"/>
      <c r="G2" s="9"/>
      <c r="H2" s="106"/>
      <c r="I2" s="9"/>
      <c r="J2" s="103"/>
      <c r="K2" s="9"/>
      <c r="L2" s="9"/>
      <c r="M2" s="9"/>
      <c r="N2" s="103"/>
      <c r="O2" s="9"/>
      <c r="R2" s="9"/>
    </row>
    <row r="3" spans="1:23" ht="48.6" customHeight="1" x14ac:dyDescent="0.6">
      <c r="D3" s="9"/>
      <c r="E3" s="106"/>
      <c r="F3" s="9"/>
      <c r="G3" s="107"/>
      <c r="H3" s="106"/>
      <c r="I3" s="105"/>
      <c r="J3" s="103"/>
      <c r="K3" s="104"/>
      <c r="L3" s="9"/>
      <c r="M3" s="9"/>
      <c r="N3" s="103"/>
      <c r="O3" s="9"/>
      <c r="R3" s="105"/>
    </row>
    <row r="4" spans="1:23" ht="48.6" customHeight="1" x14ac:dyDescent="0.6">
      <c r="D4" s="9"/>
      <c r="E4" s="106"/>
      <c r="F4" s="9"/>
      <c r="G4" s="107"/>
      <c r="H4" s="106"/>
      <c r="I4" s="105"/>
      <c r="J4" s="103"/>
      <c r="K4" s="104"/>
      <c r="L4" s="9"/>
      <c r="M4" s="9"/>
      <c r="N4" s="103"/>
      <c r="O4" s="9"/>
      <c r="R4" s="105"/>
    </row>
    <row r="5" spans="1:23" ht="26.1" customHeight="1" x14ac:dyDescent="0.3">
      <c r="B5" s="102"/>
      <c r="C5" s="101"/>
      <c r="D5" s="435" t="s">
        <v>182</v>
      </c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117"/>
      <c r="S5" s="117"/>
      <c r="T5" s="117"/>
      <c r="U5" s="117"/>
    </row>
    <row r="6" spans="1:23" ht="26.1" customHeight="1" x14ac:dyDescent="0.3">
      <c r="B6" s="100"/>
      <c r="C6" s="99"/>
      <c r="D6" s="435" t="s">
        <v>181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117"/>
      <c r="S6" s="117"/>
      <c r="T6" s="117"/>
      <c r="U6" s="117"/>
    </row>
    <row r="7" spans="1:23" ht="30" x14ac:dyDescent="0.3">
      <c r="B7" s="435" t="s">
        <v>194</v>
      </c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117"/>
      <c r="S7" s="117"/>
      <c r="T7" s="117"/>
      <c r="U7" s="117"/>
    </row>
    <row r="8" spans="1:23" ht="30" customHeight="1" x14ac:dyDescent="0.3">
      <c r="B8" s="93"/>
      <c r="C8" s="98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56" t="s">
        <v>193</v>
      </c>
      <c r="Q8" s="117"/>
      <c r="R8" s="93"/>
      <c r="S8" s="117"/>
      <c r="T8" s="117"/>
      <c r="U8" s="117"/>
    </row>
    <row r="9" spans="1:23" ht="16.149999999999999" customHeight="1" thickBot="1" x14ac:dyDescent="0.35">
      <c r="B9" s="93"/>
      <c r="C9" s="98"/>
      <c r="D9" s="93"/>
      <c r="E9" s="93"/>
      <c r="F9" s="93"/>
      <c r="G9" s="97">
        <f>-1400000/E55</f>
        <v>-3.7099310880300398E-2</v>
      </c>
      <c r="H9" s="93"/>
      <c r="I9" s="93"/>
      <c r="J9" s="93"/>
      <c r="K9" s="93"/>
      <c r="L9" s="93"/>
      <c r="M9" s="96"/>
      <c r="N9" s="95"/>
      <c r="O9" s="94"/>
      <c r="P9" s="117"/>
      <c r="Q9" s="117"/>
      <c r="R9" s="93"/>
      <c r="S9" s="117"/>
      <c r="T9" s="117"/>
      <c r="U9" s="117"/>
    </row>
    <row r="10" spans="1:23" s="85" customFormat="1" ht="49.9" customHeight="1" thickTop="1" x14ac:dyDescent="0.25">
      <c r="A10" s="88"/>
      <c r="C10" s="87"/>
      <c r="D10" s="92"/>
      <c r="E10" s="436" t="s">
        <v>180</v>
      </c>
      <c r="F10" s="437"/>
      <c r="G10" s="437"/>
      <c r="H10" s="437"/>
      <c r="I10" s="438"/>
      <c r="J10" s="436" t="s">
        <v>179</v>
      </c>
      <c r="K10" s="437"/>
      <c r="L10" s="91"/>
      <c r="M10" s="437" t="s">
        <v>179</v>
      </c>
      <c r="N10" s="437"/>
      <c r="O10" s="438"/>
      <c r="P10" s="118"/>
      <c r="Q10" s="118"/>
      <c r="R10" s="179"/>
      <c r="S10" s="159"/>
      <c r="T10" s="118"/>
      <c r="U10" s="119"/>
      <c r="V10" s="471" t="s">
        <v>200</v>
      </c>
      <c r="W10" s="472"/>
    </row>
    <row r="11" spans="1:23" s="85" customFormat="1" ht="30" customHeight="1" x14ac:dyDescent="0.25">
      <c r="A11" s="88"/>
      <c r="C11" s="87"/>
      <c r="D11" s="90" t="s">
        <v>178</v>
      </c>
      <c r="E11" s="419" t="s">
        <v>169</v>
      </c>
      <c r="F11" s="420"/>
      <c r="G11" s="420"/>
      <c r="H11" s="420"/>
      <c r="I11" s="108"/>
      <c r="J11" s="419" t="s">
        <v>184</v>
      </c>
      <c r="K11" s="420"/>
      <c r="L11" s="421"/>
      <c r="M11" s="419" t="s">
        <v>183</v>
      </c>
      <c r="N11" s="420"/>
      <c r="O11" s="421"/>
      <c r="P11" s="120"/>
      <c r="Q11" s="120"/>
      <c r="R11" s="180"/>
      <c r="S11" s="160"/>
      <c r="T11" s="120"/>
      <c r="U11" s="121"/>
      <c r="V11" s="473"/>
      <c r="W11" s="474"/>
    </row>
    <row r="12" spans="1:23" s="85" customFormat="1" ht="31.15" customHeight="1" x14ac:dyDescent="0.25">
      <c r="A12" s="88"/>
      <c r="C12" s="87"/>
      <c r="D12" s="89"/>
      <c r="E12" s="426" t="s">
        <v>177</v>
      </c>
      <c r="F12" s="109"/>
      <c r="G12" s="110" t="s">
        <v>175</v>
      </c>
      <c r="H12" s="429" t="s">
        <v>176</v>
      </c>
      <c r="I12" s="111"/>
      <c r="J12" s="112" t="s">
        <v>175</v>
      </c>
      <c r="K12" s="431" t="s">
        <v>169</v>
      </c>
      <c r="L12" s="432"/>
      <c r="M12" s="110" t="s">
        <v>175</v>
      </c>
      <c r="N12" s="429" t="s">
        <v>169</v>
      </c>
      <c r="O12" s="475"/>
      <c r="P12" s="122" t="s">
        <v>171</v>
      </c>
      <c r="Q12" s="122" t="s">
        <v>185</v>
      </c>
      <c r="R12" s="180"/>
      <c r="S12" s="161" t="s">
        <v>174</v>
      </c>
      <c r="T12" s="122" t="s">
        <v>173</v>
      </c>
      <c r="U12" s="123" t="s">
        <v>172</v>
      </c>
      <c r="V12" s="473"/>
      <c r="W12" s="474"/>
    </row>
    <row r="13" spans="1:23" s="85" customFormat="1" ht="31.15" customHeight="1" x14ac:dyDescent="0.25">
      <c r="A13" s="88" t="s">
        <v>171</v>
      </c>
      <c r="B13" s="85" t="s">
        <v>170</v>
      </c>
      <c r="C13" s="87"/>
      <c r="D13" s="86"/>
      <c r="E13" s="419"/>
      <c r="F13" s="113"/>
      <c r="G13" s="114" t="s">
        <v>168</v>
      </c>
      <c r="H13" s="430"/>
      <c r="I13" s="115"/>
      <c r="J13" s="116" t="s">
        <v>168</v>
      </c>
      <c r="K13" s="433"/>
      <c r="L13" s="434"/>
      <c r="M13" s="114" t="s">
        <v>168</v>
      </c>
      <c r="N13" s="430"/>
      <c r="O13" s="421"/>
      <c r="P13" s="124"/>
      <c r="Q13" s="124"/>
      <c r="R13" s="115"/>
      <c r="S13" s="162"/>
      <c r="T13" s="124"/>
      <c r="U13" s="125"/>
      <c r="V13" s="201" t="s">
        <v>171</v>
      </c>
      <c r="W13" s="201" t="s">
        <v>185</v>
      </c>
    </row>
    <row r="14" spans="1:23" s="2" customFormat="1" ht="24.75" customHeight="1" x14ac:dyDescent="0.4">
      <c r="A14" s="36"/>
      <c r="C14" s="7"/>
      <c r="D14" s="84" t="s">
        <v>167</v>
      </c>
      <c r="E14" s="82"/>
      <c r="F14" s="81"/>
      <c r="G14" s="83"/>
      <c r="H14" s="82"/>
      <c r="I14" s="81"/>
      <c r="J14" s="80"/>
      <c r="K14" s="82"/>
      <c r="L14" s="81"/>
      <c r="M14" s="79"/>
      <c r="N14" s="181"/>
      <c r="O14" s="182"/>
      <c r="P14" s="158"/>
      <c r="Q14" s="163"/>
      <c r="R14" s="175"/>
      <c r="S14" s="126"/>
      <c r="T14" s="126"/>
      <c r="U14" s="126"/>
      <c r="W14" s="126"/>
    </row>
    <row r="15" spans="1:23" s="2" customFormat="1" ht="24.75" customHeight="1" x14ac:dyDescent="0.35">
      <c r="A15" s="36" t="s">
        <v>166</v>
      </c>
      <c r="B15" s="2" t="s">
        <v>43</v>
      </c>
      <c r="C15" s="7"/>
      <c r="D15" s="43" t="s">
        <v>165</v>
      </c>
      <c r="E15" s="38">
        <v>85961</v>
      </c>
      <c r="F15" s="42"/>
      <c r="G15" s="37">
        <f t="shared" ref="G15:G20" si="0">ROUND(E15*$G$9,0)</f>
        <v>-3189</v>
      </c>
      <c r="H15" s="38">
        <f t="shared" ref="H15:H42" si="1">E15+G15</f>
        <v>82772</v>
      </c>
      <c r="I15" s="42"/>
      <c r="J15" s="41">
        <f t="shared" ref="J15:J33" si="2">K15-H15</f>
        <v>1993</v>
      </c>
      <c r="K15" s="38">
        <v>84765</v>
      </c>
      <c r="L15" s="42"/>
      <c r="M15" s="37">
        <v>-3589</v>
      </c>
      <c r="N15" s="183">
        <f>SUM(K15:M15)</f>
        <v>81176</v>
      </c>
      <c r="O15" s="184"/>
      <c r="P15" s="127">
        <v>946002</v>
      </c>
      <c r="Q15" s="164" t="s">
        <v>31</v>
      </c>
      <c r="R15" s="176"/>
      <c r="S15" s="128" t="s">
        <v>164</v>
      </c>
      <c r="T15" s="129" t="s">
        <v>59</v>
      </c>
      <c r="U15" s="130"/>
      <c r="V15" s="200" t="s">
        <v>197</v>
      </c>
      <c r="W15" s="202" t="s">
        <v>197</v>
      </c>
    </row>
    <row r="16" spans="1:23" s="2" customFormat="1" ht="24.95" customHeight="1" x14ac:dyDescent="0.35">
      <c r="A16" s="36" t="s">
        <v>163</v>
      </c>
      <c r="B16" s="2" t="s">
        <v>43</v>
      </c>
      <c r="C16" s="7"/>
      <c r="D16" s="43" t="s">
        <v>162</v>
      </c>
      <c r="E16" s="38">
        <v>94859</v>
      </c>
      <c r="F16" s="42"/>
      <c r="G16" s="37">
        <f t="shared" si="0"/>
        <v>-3519</v>
      </c>
      <c r="H16" s="38">
        <f t="shared" si="1"/>
        <v>91340</v>
      </c>
      <c r="I16" s="42"/>
      <c r="J16" s="41">
        <f t="shared" si="2"/>
        <v>2191</v>
      </c>
      <c r="K16" s="38">
        <v>93531</v>
      </c>
      <c r="L16" s="42"/>
      <c r="M16" s="37">
        <v>-3770</v>
      </c>
      <c r="N16" s="183">
        <f t="shared" ref="N16:N42" si="3">SUM(K16:M16)</f>
        <v>89761</v>
      </c>
      <c r="O16" s="184"/>
      <c r="P16" s="127">
        <v>442001</v>
      </c>
      <c r="Q16" s="164" t="s">
        <v>31</v>
      </c>
      <c r="R16" s="176"/>
      <c r="S16" s="128" t="s">
        <v>161</v>
      </c>
      <c r="T16" s="129" t="s">
        <v>59</v>
      </c>
      <c r="U16" s="130"/>
      <c r="V16" s="200" t="s">
        <v>197</v>
      </c>
      <c r="W16" s="202" t="s">
        <v>197</v>
      </c>
    </row>
    <row r="17" spans="1:23" s="2" customFormat="1" ht="24.95" customHeight="1" x14ac:dyDescent="0.35">
      <c r="A17" s="36" t="s">
        <v>160</v>
      </c>
      <c r="B17" s="78" t="s">
        <v>159</v>
      </c>
      <c r="C17" s="7"/>
      <c r="D17" s="43" t="s">
        <v>158</v>
      </c>
      <c r="E17" s="38">
        <v>4000000</v>
      </c>
      <c r="F17" s="42"/>
      <c r="G17" s="37">
        <f t="shared" si="0"/>
        <v>-148397</v>
      </c>
      <c r="H17" s="38">
        <f t="shared" si="1"/>
        <v>3851603</v>
      </c>
      <c r="I17" s="42"/>
      <c r="J17" s="41">
        <f t="shared" si="2"/>
        <v>-502912</v>
      </c>
      <c r="K17" s="38">
        <v>3348691</v>
      </c>
      <c r="L17" s="42"/>
      <c r="M17" s="37">
        <v>333017</v>
      </c>
      <c r="N17" s="183">
        <f t="shared" si="3"/>
        <v>3681708</v>
      </c>
      <c r="O17" s="184"/>
      <c r="P17" s="131">
        <v>925027</v>
      </c>
      <c r="Q17" s="165" t="s">
        <v>31</v>
      </c>
      <c r="R17" s="177"/>
      <c r="S17" s="128" t="s">
        <v>157</v>
      </c>
      <c r="T17" s="132" t="s">
        <v>156</v>
      </c>
      <c r="U17" s="46" t="s">
        <v>155</v>
      </c>
      <c r="V17" s="200" t="s">
        <v>197</v>
      </c>
      <c r="W17" s="202" t="s">
        <v>197</v>
      </c>
    </row>
    <row r="18" spans="1:23" s="2" customFormat="1" ht="24.95" customHeight="1" x14ac:dyDescent="0.35">
      <c r="A18" s="36" t="s">
        <v>154</v>
      </c>
      <c r="B18" s="2" t="s">
        <v>43</v>
      </c>
      <c r="C18" s="7"/>
      <c r="D18" s="43" t="s">
        <v>153</v>
      </c>
      <c r="E18" s="38">
        <v>32552</v>
      </c>
      <c r="F18" s="42"/>
      <c r="G18" s="37">
        <f t="shared" si="0"/>
        <v>-1208</v>
      </c>
      <c r="H18" s="38">
        <f t="shared" si="1"/>
        <v>31344</v>
      </c>
      <c r="I18" s="42"/>
      <c r="J18" s="41">
        <f t="shared" si="2"/>
        <v>752</v>
      </c>
      <c r="K18" s="38">
        <v>32096</v>
      </c>
      <c r="L18" s="42"/>
      <c r="M18" s="37">
        <v>-1359</v>
      </c>
      <c r="N18" s="183">
        <f t="shared" si="3"/>
        <v>30737</v>
      </c>
      <c r="O18" s="184"/>
      <c r="P18" s="133">
        <v>378011</v>
      </c>
      <c r="Q18" s="166" t="s">
        <v>31</v>
      </c>
      <c r="R18" s="178"/>
      <c r="S18" s="134" t="s">
        <v>152</v>
      </c>
      <c r="T18" s="129" t="s">
        <v>59</v>
      </c>
      <c r="U18" s="130" t="s">
        <v>151</v>
      </c>
      <c r="V18" s="200" t="s">
        <v>197</v>
      </c>
      <c r="W18" s="202" t="s">
        <v>197</v>
      </c>
    </row>
    <row r="19" spans="1:23" s="2" customFormat="1" ht="24.95" customHeight="1" x14ac:dyDescent="0.35">
      <c r="A19" s="36" t="s">
        <v>149</v>
      </c>
      <c r="B19" s="2" t="s">
        <v>43</v>
      </c>
      <c r="C19" s="7"/>
      <c r="D19" s="43" t="s">
        <v>150</v>
      </c>
      <c r="E19" s="38">
        <v>18769</v>
      </c>
      <c r="F19" s="42"/>
      <c r="G19" s="37">
        <f t="shared" si="0"/>
        <v>-696</v>
      </c>
      <c r="H19" s="38">
        <f t="shared" si="1"/>
        <v>18073</v>
      </c>
      <c r="I19" s="42"/>
      <c r="J19" s="41">
        <f t="shared" si="2"/>
        <v>433</v>
      </c>
      <c r="K19" s="38">
        <v>18506</v>
      </c>
      <c r="L19" s="42"/>
      <c r="M19" s="37">
        <v>-784</v>
      </c>
      <c r="N19" s="183">
        <f t="shared" si="3"/>
        <v>17722</v>
      </c>
      <c r="O19" s="184"/>
      <c r="P19" s="127" t="s">
        <v>149</v>
      </c>
      <c r="Q19" s="164" t="s">
        <v>31</v>
      </c>
      <c r="R19" s="176"/>
      <c r="S19" s="134" t="s">
        <v>148</v>
      </c>
      <c r="T19" s="129" t="s">
        <v>147</v>
      </c>
      <c r="U19" s="130" t="s">
        <v>146</v>
      </c>
      <c r="V19" s="200" t="s">
        <v>197</v>
      </c>
      <c r="W19" s="202" t="s">
        <v>197</v>
      </c>
    </row>
    <row r="20" spans="1:23" s="2" customFormat="1" ht="24.75" customHeight="1" x14ac:dyDescent="0.35">
      <c r="A20" s="36" t="s">
        <v>122</v>
      </c>
      <c r="B20" s="76" t="s">
        <v>124</v>
      </c>
      <c r="C20" s="7"/>
      <c r="D20" s="43" t="s">
        <v>195</v>
      </c>
      <c r="E20" s="38">
        <v>349681</v>
      </c>
      <c r="F20" s="42"/>
      <c r="G20" s="37">
        <f t="shared" si="0"/>
        <v>-12973</v>
      </c>
      <c r="H20" s="38">
        <f t="shared" si="1"/>
        <v>336708</v>
      </c>
      <c r="I20" s="42"/>
      <c r="J20" s="41">
        <f t="shared" si="2"/>
        <v>8077</v>
      </c>
      <c r="K20" s="38">
        <v>344785</v>
      </c>
      <c r="L20" s="42"/>
      <c r="M20" s="37">
        <v>-14598</v>
      </c>
      <c r="N20" s="183">
        <f t="shared" si="3"/>
        <v>330187</v>
      </c>
      <c r="O20" s="184"/>
      <c r="P20" s="155" t="s">
        <v>186</v>
      </c>
      <c r="Q20" s="164" t="s">
        <v>31</v>
      </c>
      <c r="R20" s="176"/>
      <c r="S20" s="134" t="s">
        <v>121</v>
      </c>
      <c r="T20" s="129" t="s">
        <v>59</v>
      </c>
      <c r="U20" s="130" t="s">
        <v>145</v>
      </c>
      <c r="V20" s="200" t="s">
        <v>197</v>
      </c>
      <c r="W20" s="202" t="s">
        <v>197</v>
      </c>
    </row>
    <row r="21" spans="1:23" s="2" customFormat="1" ht="24.95" customHeight="1" x14ac:dyDescent="0.35">
      <c r="A21" s="36" t="s">
        <v>143</v>
      </c>
      <c r="B21" s="2" t="s">
        <v>43</v>
      </c>
      <c r="C21" s="7"/>
      <c r="D21" s="43" t="s">
        <v>144</v>
      </c>
      <c r="E21" s="38">
        <v>34674</v>
      </c>
      <c r="F21" s="42"/>
      <c r="G21" s="37">
        <f>ROUND(E21*$G$9,0)-0.6</f>
        <v>-1286.5999999999999</v>
      </c>
      <c r="H21" s="38">
        <f t="shared" si="1"/>
        <v>33387.4</v>
      </c>
      <c r="I21" s="42"/>
      <c r="J21" s="41">
        <f t="shared" si="2"/>
        <v>801.59999999999854</v>
      </c>
      <c r="K21" s="38">
        <v>34189</v>
      </c>
      <c r="L21" s="42"/>
      <c r="M21" s="37">
        <v>-1447</v>
      </c>
      <c r="N21" s="183">
        <f t="shared" si="3"/>
        <v>32742</v>
      </c>
      <c r="O21" s="184"/>
      <c r="P21" s="127" t="s">
        <v>143</v>
      </c>
      <c r="Q21" s="164" t="s">
        <v>31</v>
      </c>
      <c r="R21" s="176"/>
      <c r="S21" s="134" t="s">
        <v>142</v>
      </c>
      <c r="T21" s="129" t="s">
        <v>138</v>
      </c>
      <c r="U21" s="130" t="s">
        <v>137</v>
      </c>
      <c r="V21" s="200" t="s">
        <v>197</v>
      </c>
      <c r="W21" s="202" t="s">
        <v>197</v>
      </c>
    </row>
    <row r="22" spans="1:23" s="2" customFormat="1" ht="24.95" customHeight="1" x14ac:dyDescent="0.35">
      <c r="A22" s="36" t="s">
        <v>140</v>
      </c>
      <c r="B22" s="2" t="s">
        <v>43</v>
      </c>
      <c r="C22" s="7"/>
      <c r="D22" s="43" t="s">
        <v>141</v>
      </c>
      <c r="E22" s="38">
        <v>24767</v>
      </c>
      <c r="F22" s="42"/>
      <c r="G22" s="37">
        <f>ROUND(E22*$G$9,0)</f>
        <v>-919</v>
      </c>
      <c r="H22" s="38">
        <f t="shared" si="1"/>
        <v>23848</v>
      </c>
      <c r="I22" s="42"/>
      <c r="J22" s="41">
        <f t="shared" si="2"/>
        <v>572</v>
      </c>
      <c r="K22" s="38">
        <v>24420</v>
      </c>
      <c r="L22" s="42"/>
      <c r="M22" s="37">
        <v>-1034</v>
      </c>
      <c r="N22" s="183">
        <f t="shared" si="3"/>
        <v>23386</v>
      </c>
      <c r="O22" s="184"/>
      <c r="P22" s="127" t="s">
        <v>140</v>
      </c>
      <c r="Q22" s="164" t="s">
        <v>31</v>
      </c>
      <c r="R22" s="176"/>
      <c r="S22" s="134" t="s">
        <v>139</v>
      </c>
      <c r="T22" s="129" t="s">
        <v>138</v>
      </c>
      <c r="U22" s="130" t="s">
        <v>137</v>
      </c>
      <c r="V22" s="200" t="s">
        <v>197</v>
      </c>
      <c r="W22" s="202" t="s">
        <v>197</v>
      </c>
    </row>
    <row r="23" spans="1:23" s="2" customFormat="1" ht="24.95" customHeight="1" x14ac:dyDescent="0.35">
      <c r="A23" s="36" t="s">
        <v>136</v>
      </c>
      <c r="B23" s="2" t="s">
        <v>43</v>
      </c>
      <c r="C23" s="7"/>
      <c r="D23" s="43" t="s">
        <v>135</v>
      </c>
      <c r="E23" s="38">
        <v>110958</v>
      </c>
      <c r="F23" s="42"/>
      <c r="G23" s="37">
        <f>ROUND(E23*$G$9,0)</f>
        <v>-4116</v>
      </c>
      <c r="H23" s="38">
        <f t="shared" si="1"/>
        <v>106842</v>
      </c>
      <c r="I23" s="42"/>
      <c r="J23" s="41">
        <f t="shared" si="2"/>
        <v>2563</v>
      </c>
      <c r="K23" s="38">
        <v>109405</v>
      </c>
      <c r="L23" s="42"/>
      <c r="M23" s="37">
        <v>-4632</v>
      </c>
      <c r="N23" s="183">
        <f t="shared" si="3"/>
        <v>104773</v>
      </c>
      <c r="O23" s="184"/>
      <c r="P23" s="127">
        <v>439000</v>
      </c>
      <c r="Q23" s="164" t="s">
        <v>31</v>
      </c>
      <c r="R23" s="176"/>
      <c r="S23" s="134" t="s">
        <v>134</v>
      </c>
      <c r="T23" s="129" t="s">
        <v>59</v>
      </c>
      <c r="U23" s="130" t="s">
        <v>133</v>
      </c>
      <c r="V23" s="200" t="s">
        <v>197</v>
      </c>
      <c r="W23" s="202" t="s">
        <v>197</v>
      </c>
    </row>
    <row r="24" spans="1:23" s="2" customFormat="1" ht="24.95" customHeight="1" x14ac:dyDescent="0.35">
      <c r="A24" s="36" t="s">
        <v>132</v>
      </c>
      <c r="B24" s="2" t="s">
        <v>43</v>
      </c>
      <c r="C24" s="7"/>
      <c r="D24" s="43" t="s">
        <v>131</v>
      </c>
      <c r="E24" s="38">
        <v>172747</v>
      </c>
      <c r="F24" s="42"/>
      <c r="G24" s="37">
        <f>ROUND(E24*$G$9,0)+1</f>
        <v>-6408</v>
      </c>
      <c r="H24" s="38">
        <f t="shared" si="1"/>
        <v>166339</v>
      </c>
      <c r="I24" s="42"/>
      <c r="J24" s="41">
        <f t="shared" si="2"/>
        <v>3990</v>
      </c>
      <c r="K24" s="38">
        <v>170329</v>
      </c>
      <c r="L24" s="42"/>
      <c r="M24" s="37">
        <v>-7211</v>
      </c>
      <c r="N24" s="183">
        <f t="shared" si="3"/>
        <v>163118</v>
      </c>
      <c r="O24" s="184"/>
      <c r="P24" s="127">
        <v>942002</v>
      </c>
      <c r="Q24" s="164" t="s">
        <v>31</v>
      </c>
      <c r="R24" s="176"/>
      <c r="S24" s="134" t="s">
        <v>130</v>
      </c>
      <c r="T24" s="129" t="s">
        <v>59</v>
      </c>
      <c r="U24" s="130" t="s">
        <v>129</v>
      </c>
      <c r="V24" s="200" t="s">
        <v>197</v>
      </c>
      <c r="W24" s="202" t="s">
        <v>197</v>
      </c>
    </row>
    <row r="25" spans="1:23" s="2" customFormat="1" ht="24.75" customHeight="1" x14ac:dyDescent="0.35">
      <c r="A25" s="36" t="s">
        <v>127</v>
      </c>
      <c r="B25" s="2" t="s">
        <v>43</v>
      </c>
      <c r="C25" s="7"/>
      <c r="D25" s="43" t="s">
        <v>128</v>
      </c>
      <c r="E25" s="38">
        <v>48659</v>
      </c>
      <c r="F25" s="42"/>
      <c r="G25" s="37">
        <f t="shared" ref="G25:G38" si="4">ROUND(E25*$G$9,0)</f>
        <v>-1805</v>
      </c>
      <c r="H25" s="38">
        <f t="shared" si="1"/>
        <v>46854</v>
      </c>
      <c r="I25" s="42"/>
      <c r="J25" s="41">
        <f t="shared" si="2"/>
        <v>1124</v>
      </c>
      <c r="K25" s="38">
        <v>47978</v>
      </c>
      <c r="L25" s="42"/>
      <c r="M25" s="37">
        <v>-2031</v>
      </c>
      <c r="N25" s="183">
        <f t="shared" si="3"/>
        <v>45947</v>
      </c>
      <c r="O25" s="184"/>
      <c r="P25" s="127" t="s">
        <v>127</v>
      </c>
      <c r="Q25" s="164" t="s">
        <v>31</v>
      </c>
      <c r="R25" s="176"/>
      <c r="S25" s="134" t="s">
        <v>126</v>
      </c>
      <c r="T25" s="129" t="s">
        <v>59</v>
      </c>
      <c r="U25" s="130" t="s">
        <v>125</v>
      </c>
      <c r="V25" s="200" t="s">
        <v>197</v>
      </c>
      <c r="W25" s="202" t="s">
        <v>197</v>
      </c>
    </row>
    <row r="26" spans="1:23" s="2" customFormat="1" ht="24.95" customHeight="1" x14ac:dyDescent="0.35">
      <c r="A26" s="36" t="s">
        <v>122</v>
      </c>
      <c r="B26" s="76" t="s">
        <v>124</v>
      </c>
      <c r="C26" s="7"/>
      <c r="D26" s="43" t="s">
        <v>123</v>
      </c>
      <c r="E26" s="38">
        <v>89163</v>
      </c>
      <c r="F26" s="42"/>
      <c r="G26" s="37">
        <f t="shared" si="4"/>
        <v>-3308</v>
      </c>
      <c r="H26" s="38">
        <f t="shared" si="1"/>
        <v>85855</v>
      </c>
      <c r="I26" s="42"/>
      <c r="J26" s="41">
        <f t="shared" si="2"/>
        <v>2060</v>
      </c>
      <c r="K26" s="38">
        <v>87915</v>
      </c>
      <c r="L26" s="42"/>
      <c r="M26" s="37">
        <v>-3722</v>
      </c>
      <c r="N26" s="183">
        <f t="shared" si="3"/>
        <v>84193</v>
      </c>
      <c r="O26" s="184"/>
      <c r="P26" s="155" t="s">
        <v>187</v>
      </c>
      <c r="Q26" s="164" t="s">
        <v>31</v>
      </c>
      <c r="R26" s="176"/>
      <c r="S26" s="134" t="s">
        <v>121</v>
      </c>
      <c r="T26" s="129" t="s">
        <v>18</v>
      </c>
      <c r="U26" s="130" t="s">
        <v>90</v>
      </c>
      <c r="V26" s="200" t="s">
        <v>197</v>
      </c>
      <c r="W26" s="202" t="s">
        <v>197</v>
      </c>
    </row>
    <row r="27" spans="1:23" s="2" customFormat="1" ht="24.95" customHeight="1" x14ac:dyDescent="0.35">
      <c r="A27" s="36" t="s">
        <v>119</v>
      </c>
      <c r="B27" s="2" t="s">
        <v>43</v>
      </c>
      <c r="C27" s="7"/>
      <c r="D27" s="43" t="s">
        <v>120</v>
      </c>
      <c r="E27" s="38">
        <v>1882323</v>
      </c>
      <c r="F27" s="42"/>
      <c r="G27" s="37">
        <f t="shared" si="4"/>
        <v>-69833</v>
      </c>
      <c r="H27" s="38">
        <f t="shared" si="1"/>
        <v>1812490</v>
      </c>
      <c r="I27" s="42"/>
      <c r="J27" s="41">
        <f t="shared" si="2"/>
        <v>43480</v>
      </c>
      <c r="K27" s="38">
        <v>1855970</v>
      </c>
      <c r="L27" s="42"/>
      <c r="M27" s="37">
        <v>-71989</v>
      </c>
      <c r="N27" s="183">
        <f t="shared" si="3"/>
        <v>1783981</v>
      </c>
      <c r="O27" s="184"/>
      <c r="P27" s="127" t="s">
        <v>119</v>
      </c>
      <c r="Q27" s="164" t="s">
        <v>31</v>
      </c>
      <c r="R27" s="176"/>
      <c r="S27" s="134" t="s">
        <v>118</v>
      </c>
      <c r="T27" s="129" t="s">
        <v>117</v>
      </c>
      <c r="U27" s="130" t="s">
        <v>116</v>
      </c>
      <c r="V27" s="200" t="s">
        <v>197</v>
      </c>
      <c r="W27" s="202" t="s">
        <v>197</v>
      </c>
    </row>
    <row r="28" spans="1:23" s="2" customFormat="1" ht="24.95" customHeight="1" x14ac:dyDescent="0.35">
      <c r="A28" s="36" t="s">
        <v>115</v>
      </c>
      <c r="B28" s="68" t="s">
        <v>93</v>
      </c>
      <c r="C28" s="7"/>
      <c r="D28" s="43" t="s">
        <v>114</v>
      </c>
      <c r="E28" s="38">
        <v>61643</v>
      </c>
      <c r="F28" s="42"/>
      <c r="G28" s="37">
        <f t="shared" si="4"/>
        <v>-2287</v>
      </c>
      <c r="H28" s="38">
        <f t="shared" si="1"/>
        <v>59356</v>
      </c>
      <c r="I28" s="42"/>
      <c r="J28" s="41">
        <f t="shared" si="2"/>
        <v>-8115</v>
      </c>
      <c r="K28" s="38">
        <v>51241</v>
      </c>
      <c r="L28" s="42"/>
      <c r="M28" s="37">
        <v>-2573</v>
      </c>
      <c r="N28" s="183">
        <f t="shared" si="3"/>
        <v>48668</v>
      </c>
      <c r="O28" s="184"/>
      <c r="P28" s="155" t="s">
        <v>188</v>
      </c>
      <c r="Q28" s="164" t="s">
        <v>31</v>
      </c>
      <c r="R28" s="176"/>
      <c r="S28" s="134" t="s">
        <v>113</v>
      </c>
      <c r="T28" s="129" t="s">
        <v>112</v>
      </c>
      <c r="U28" s="130" t="s">
        <v>111</v>
      </c>
      <c r="V28" s="200" t="s">
        <v>197</v>
      </c>
      <c r="W28" s="202" t="s">
        <v>197</v>
      </c>
    </row>
    <row r="29" spans="1:23" s="2" customFormat="1" ht="24.95" customHeight="1" x14ac:dyDescent="0.35">
      <c r="A29" s="36" t="s">
        <v>110</v>
      </c>
      <c r="B29" s="2" t="s">
        <v>43</v>
      </c>
      <c r="C29" s="7"/>
      <c r="D29" s="43" t="s">
        <v>11</v>
      </c>
      <c r="E29" s="38">
        <v>134744</v>
      </c>
      <c r="F29" s="42"/>
      <c r="G29" s="37">
        <f t="shared" si="4"/>
        <v>-4999</v>
      </c>
      <c r="H29" s="38">
        <f t="shared" si="1"/>
        <v>129745</v>
      </c>
      <c r="I29" s="42"/>
      <c r="J29" s="41">
        <f t="shared" si="2"/>
        <v>-511</v>
      </c>
      <c r="K29" s="38">
        <v>129234</v>
      </c>
      <c r="L29" s="42"/>
      <c r="M29" s="37">
        <v>-5625</v>
      </c>
      <c r="N29" s="183">
        <f t="shared" si="3"/>
        <v>123609</v>
      </c>
      <c r="O29" s="184"/>
      <c r="P29" s="127">
        <v>235000</v>
      </c>
      <c r="Q29" s="164" t="s">
        <v>31</v>
      </c>
      <c r="R29" s="176"/>
      <c r="S29" s="134" t="s">
        <v>10</v>
      </c>
      <c r="T29" s="129" t="s">
        <v>9</v>
      </c>
      <c r="U29" s="130" t="s">
        <v>8</v>
      </c>
      <c r="V29" s="200" t="s">
        <v>197</v>
      </c>
      <c r="W29" s="202" t="s">
        <v>197</v>
      </c>
    </row>
    <row r="30" spans="1:23" s="2" customFormat="1" ht="24.95" customHeight="1" x14ac:dyDescent="0.35">
      <c r="A30" s="36" t="s">
        <v>109</v>
      </c>
      <c r="B30" s="2" t="s">
        <v>43</v>
      </c>
      <c r="C30" s="7"/>
      <c r="D30" s="43" t="s">
        <v>108</v>
      </c>
      <c r="E30" s="38">
        <v>72321</v>
      </c>
      <c r="F30" s="42"/>
      <c r="G30" s="37">
        <f t="shared" si="4"/>
        <v>-2683</v>
      </c>
      <c r="H30" s="38">
        <f t="shared" si="1"/>
        <v>69638</v>
      </c>
      <c r="I30" s="42"/>
      <c r="J30" s="41">
        <f t="shared" si="2"/>
        <v>1671</v>
      </c>
      <c r="K30" s="38">
        <v>71309</v>
      </c>
      <c r="L30" s="42"/>
      <c r="M30" s="37">
        <v>-3019</v>
      </c>
      <c r="N30" s="183">
        <f t="shared" si="3"/>
        <v>68290</v>
      </c>
      <c r="O30" s="184"/>
      <c r="P30" s="127">
        <v>459145</v>
      </c>
      <c r="Q30" s="164" t="s">
        <v>31</v>
      </c>
      <c r="R30" s="176"/>
      <c r="S30" s="134" t="s">
        <v>107</v>
      </c>
      <c r="T30" s="129" t="s">
        <v>106</v>
      </c>
      <c r="U30" s="130" t="s">
        <v>105</v>
      </c>
      <c r="V30" s="200" t="s">
        <v>197</v>
      </c>
      <c r="W30" s="202" t="s">
        <v>197</v>
      </c>
    </row>
    <row r="31" spans="1:23" s="2" customFormat="1" ht="24.95" customHeight="1" x14ac:dyDescent="0.35">
      <c r="A31" s="36" t="s">
        <v>103</v>
      </c>
      <c r="B31" s="74" t="s">
        <v>65</v>
      </c>
      <c r="C31" s="7"/>
      <c r="D31" s="43" t="s">
        <v>104</v>
      </c>
      <c r="E31" s="38">
        <v>2337013</v>
      </c>
      <c r="F31" s="42"/>
      <c r="G31" s="37">
        <f t="shared" si="4"/>
        <v>-86702</v>
      </c>
      <c r="H31" s="38">
        <f t="shared" si="1"/>
        <v>2250311</v>
      </c>
      <c r="I31" s="42"/>
      <c r="J31" s="41">
        <f t="shared" si="2"/>
        <v>53984</v>
      </c>
      <c r="K31" s="38">
        <v>2304295</v>
      </c>
      <c r="L31" s="42"/>
      <c r="M31" s="37">
        <v>-97561</v>
      </c>
      <c r="N31" s="183">
        <f t="shared" si="3"/>
        <v>2206734</v>
      </c>
      <c r="O31" s="184"/>
      <c r="P31" s="127" t="s">
        <v>103</v>
      </c>
      <c r="Q31" s="164" t="s">
        <v>31</v>
      </c>
      <c r="R31" s="176"/>
      <c r="S31" s="134" t="s">
        <v>102</v>
      </c>
      <c r="T31" s="129" t="s">
        <v>101</v>
      </c>
      <c r="U31" s="130" t="s">
        <v>100</v>
      </c>
      <c r="V31" s="200" t="s">
        <v>197</v>
      </c>
      <c r="W31" s="202" t="s">
        <v>197</v>
      </c>
    </row>
    <row r="32" spans="1:23" s="2" customFormat="1" ht="24.95" customHeight="1" x14ac:dyDescent="0.35">
      <c r="A32" s="36" t="s">
        <v>97</v>
      </c>
      <c r="B32" s="68" t="s">
        <v>99</v>
      </c>
      <c r="C32" s="7"/>
      <c r="D32" s="43" t="s">
        <v>98</v>
      </c>
      <c r="E32" s="38">
        <v>49535</v>
      </c>
      <c r="F32" s="42"/>
      <c r="G32" s="37">
        <f t="shared" si="4"/>
        <v>-1838</v>
      </c>
      <c r="H32" s="38">
        <f t="shared" si="1"/>
        <v>47697</v>
      </c>
      <c r="I32" s="42"/>
      <c r="J32" s="41">
        <f t="shared" si="2"/>
        <v>1145</v>
      </c>
      <c r="K32" s="38">
        <v>48842</v>
      </c>
      <c r="L32" s="42"/>
      <c r="M32" s="37">
        <v>-2068</v>
      </c>
      <c r="N32" s="183">
        <f t="shared" si="3"/>
        <v>46774</v>
      </c>
      <c r="O32" s="184"/>
      <c r="P32" s="127" t="s">
        <v>97</v>
      </c>
      <c r="Q32" s="164" t="s">
        <v>31</v>
      </c>
      <c r="R32" s="176"/>
      <c r="S32" s="134" t="s">
        <v>96</v>
      </c>
      <c r="T32" s="129" t="s">
        <v>59</v>
      </c>
      <c r="U32" s="135" t="s">
        <v>95</v>
      </c>
      <c r="V32" s="200" t="s">
        <v>197</v>
      </c>
      <c r="W32" s="202" t="s">
        <v>197</v>
      </c>
    </row>
    <row r="33" spans="1:23" s="2" customFormat="1" ht="24.95" customHeight="1" x14ac:dyDescent="0.35">
      <c r="A33" s="36" t="s">
        <v>94</v>
      </c>
      <c r="B33" s="68" t="s">
        <v>93</v>
      </c>
      <c r="C33" s="7"/>
      <c r="D33" s="77" t="s">
        <v>24</v>
      </c>
      <c r="E33" s="38">
        <v>9907</v>
      </c>
      <c r="F33" s="42"/>
      <c r="G33" s="37">
        <f t="shared" si="4"/>
        <v>-368</v>
      </c>
      <c r="H33" s="38">
        <f t="shared" si="1"/>
        <v>9539</v>
      </c>
      <c r="I33" s="42"/>
      <c r="J33" s="41">
        <f t="shared" si="2"/>
        <v>-9539</v>
      </c>
      <c r="K33" s="38">
        <v>0</v>
      </c>
      <c r="L33" s="42"/>
      <c r="M33" s="37">
        <v>0</v>
      </c>
      <c r="N33" s="183">
        <f t="shared" si="3"/>
        <v>0</v>
      </c>
      <c r="O33" s="184"/>
      <c r="P33" s="127">
        <v>457003</v>
      </c>
      <c r="Q33" s="164" t="s">
        <v>31</v>
      </c>
      <c r="R33" s="176"/>
      <c r="S33" s="134" t="s">
        <v>92</v>
      </c>
      <c r="T33" s="129" t="s">
        <v>91</v>
      </c>
      <c r="U33" s="130" t="s">
        <v>90</v>
      </c>
      <c r="V33" s="200" t="s">
        <v>197</v>
      </c>
      <c r="W33" s="202" t="s">
        <v>197</v>
      </c>
    </row>
    <row r="34" spans="1:23" s="2" customFormat="1" ht="24.95" customHeight="1" x14ac:dyDescent="0.35">
      <c r="A34" s="36" t="s">
        <v>89</v>
      </c>
      <c r="B34" s="2" t="s">
        <v>43</v>
      </c>
      <c r="C34" s="7"/>
      <c r="D34" s="43" t="s">
        <v>88</v>
      </c>
      <c r="E34" s="38">
        <v>829910</v>
      </c>
      <c r="F34" s="42"/>
      <c r="G34" s="37">
        <f t="shared" si="4"/>
        <v>-30789</v>
      </c>
      <c r="H34" s="38">
        <f t="shared" si="1"/>
        <v>799121</v>
      </c>
      <c r="I34" s="42"/>
      <c r="J34" s="41">
        <f>K34-H34+0.5</f>
        <v>2702.5</v>
      </c>
      <c r="K34" s="38">
        <v>801823</v>
      </c>
      <c r="L34" s="42"/>
      <c r="M34" s="37">
        <v>-34645</v>
      </c>
      <c r="N34" s="183">
        <f t="shared" si="3"/>
        <v>767178</v>
      </c>
      <c r="O34" s="184"/>
      <c r="P34" s="127">
        <v>823000</v>
      </c>
      <c r="Q34" s="164" t="s">
        <v>31</v>
      </c>
      <c r="R34" s="176"/>
      <c r="S34" s="134" t="s">
        <v>87</v>
      </c>
      <c r="T34" s="129" t="s">
        <v>59</v>
      </c>
      <c r="U34" s="130" t="s">
        <v>86</v>
      </c>
      <c r="V34" s="200" t="s">
        <v>197</v>
      </c>
      <c r="W34" s="202" t="s">
        <v>197</v>
      </c>
    </row>
    <row r="35" spans="1:23" s="2" customFormat="1" ht="24.95" customHeight="1" x14ac:dyDescent="0.35">
      <c r="A35" s="36" t="s">
        <v>84</v>
      </c>
      <c r="B35" s="2" t="s">
        <v>43</v>
      </c>
      <c r="C35" s="7"/>
      <c r="D35" s="43" t="s">
        <v>85</v>
      </c>
      <c r="E35" s="38">
        <v>30830</v>
      </c>
      <c r="F35" s="42"/>
      <c r="G35" s="37">
        <f t="shared" si="4"/>
        <v>-1144</v>
      </c>
      <c r="H35" s="38">
        <f t="shared" si="1"/>
        <v>29686</v>
      </c>
      <c r="I35" s="42"/>
      <c r="J35" s="41">
        <f t="shared" ref="J35:J42" si="5">K35-H35</f>
        <v>712</v>
      </c>
      <c r="K35" s="38">
        <v>30398</v>
      </c>
      <c r="L35" s="42"/>
      <c r="M35" s="37">
        <v>-1287</v>
      </c>
      <c r="N35" s="183">
        <f t="shared" si="3"/>
        <v>29111</v>
      </c>
      <c r="O35" s="184"/>
      <c r="P35" s="127" t="s">
        <v>84</v>
      </c>
      <c r="Q35" s="164" t="s">
        <v>31</v>
      </c>
      <c r="R35" s="176"/>
      <c r="S35" s="134" t="s">
        <v>40</v>
      </c>
      <c r="T35" s="129" t="s">
        <v>39</v>
      </c>
      <c r="U35" s="130" t="s">
        <v>38</v>
      </c>
      <c r="V35" s="200" t="s">
        <v>197</v>
      </c>
      <c r="W35" s="202" t="s">
        <v>197</v>
      </c>
    </row>
    <row r="36" spans="1:23" s="2" customFormat="1" ht="24.95" customHeight="1" x14ac:dyDescent="0.35">
      <c r="A36" s="36" t="s">
        <v>49</v>
      </c>
      <c r="B36" s="2" t="s">
        <v>43</v>
      </c>
      <c r="C36" s="7"/>
      <c r="D36" s="43" t="s">
        <v>83</v>
      </c>
      <c r="E36" s="38">
        <v>197949</v>
      </c>
      <c r="F36" s="42"/>
      <c r="G36" s="37">
        <f t="shared" si="4"/>
        <v>-7344</v>
      </c>
      <c r="H36" s="38">
        <f t="shared" si="1"/>
        <v>190605</v>
      </c>
      <c r="I36" s="42"/>
      <c r="J36" s="41">
        <f t="shared" si="5"/>
        <v>4573</v>
      </c>
      <c r="K36" s="38">
        <v>195178</v>
      </c>
      <c r="L36" s="42"/>
      <c r="M36" s="37">
        <v>-8264</v>
      </c>
      <c r="N36" s="183">
        <f t="shared" si="3"/>
        <v>186914</v>
      </c>
      <c r="O36" s="184"/>
      <c r="P36" s="127">
        <v>670009</v>
      </c>
      <c r="Q36" s="164" t="s">
        <v>31</v>
      </c>
      <c r="R36" s="176"/>
      <c r="S36" s="134" t="s">
        <v>40</v>
      </c>
      <c r="T36" s="129" t="s">
        <v>39</v>
      </c>
      <c r="U36" s="130" t="s">
        <v>38</v>
      </c>
      <c r="V36" s="200" t="s">
        <v>197</v>
      </c>
      <c r="W36" s="202" t="s">
        <v>197</v>
      </c>
    </row>
    <row r="37" spans="1:23" s="2" customFormat="1" ht="24.95" customHeight="1" x14ac:dyDescent="0.35">
      <c r="A37" s="36" t="s">
        <v>81</v>
      </c>
      <c r="B37" s="74" t="s">
        <v>65</v>
      </c>
      <c r="C37" s="7"/>
      <c r="D37" s="43" t="s">
        <v>82</v>
      </c>
      <c r="E37" s="38">
        <v>4635043</v>
      </c>
      <c r="F37" s="42"/>
      <c r="G37" s="37">
        <f t="shared" si="4"/>
        <v>-171957</v>
      </c>
      <c r="H37" s="38">
        <f t="shared" si="1"/>
        <v>4463086</v>
      </c>
      <c r="I37" s="42"/>
      <c r="J37" s="41">
        <f t="shared" si="5"/>
        <v>171956</v>
      </c>
      <c r="K37" s="38">
        <v>4635042</v>
      </c>
      <c r="L37" s="42"/>
      <c r="M37" s="37">
        <v>-148680</v>
      </c>
      <c r="N37" s="183">
        <f t="shared" si="3"/>
        <v>4486362</v>
      </c>
      <c r="O37" s="184"/>
      <c r="P37" s="155" t="s">
        <v>189</v>
      </c>
      <c r="Q37" s="164" t="s">
        <v>31</v>
      </c>
      <c r="R37" s="176"/>
      <c r="S37" s="134" t="s">
        <v>80</v>
      </c>
      <c r="T37" s="129" t="s">
        <v>18</v>
      </c>
      <c r="U37" s="130" t="s">
        <v>79</v>
      </c>
      <c r="V37" s="200" t="s">
        <v>197</v>
      </c>
      <c r="W37" s="202" t="s">
        <v>197</v>
      </c>
    </row>
    <row r="38" spans="1:23" s="2" customFormat="1" ht="24.95" customHeight="1" x14ac:dyDescent="0.35">
      <c r="A38" s="36" t="s">
        <v>78</v>
      </c>
      <c r="B38" s="2" t="s">
        <v>43</v>
      </c>
      <c r="C38" s="7"/>
      <c r="D38" s="73" t="s">
        <v>77</v>
      </c>
      <c r="E38" s="38">
        <v>26866</v>
      </c>
      <c r="F38" s="75"/>
      <c r="G38" s="37">
        <f t="shared" si="4"/>
        <v>-997</v>
      </c>
      <c r="H38" s="38">
        <f t="shared" si="1"/>
        <v>25869</v>
      </c>
      <c r="I38" s="75"/>
      <c r="J38" s="41">
        <f t="shared" si="5"/>
        <v>-15869</v>
      </c>
      <c r="K38" s="38">
        <v>10000</v>
      </c>
      <c r="L38" s="75"/>
      <c r="M38" s="37">
        <v>-1122</v>
      </c>
      <c r="N38" s="183">
        <f t="shared" si="3"/>
        <v>8878</v>
      </c>
      <c r="O38" s="185"/>
      <c r="P38" s="127">
        <v>652034</v>
      </c>
      <c r="Q38" s="164" t="s">
        <v>31</v>
      </c>
      <c r="R38" s="176"/>
      <c r="S38" s="134" t="s">
        <v>76</v>
      </c>
      <c r="T38" s="129" t="s">
        <v>75</v>
      </c>
      <c r="U38" s="130" t="s">
        <v>74</v>
      </c>
      <c r="V38" s="200" t="s">
        <v>197</v>
      </c>
      <c r="W38" s="202" t="s">
        <v>197</v>
      </c>
    </row>
    <row r="39" spans="1:23" s="2" customFormat="1" ht="24.6" customHeight="1" x14ac:dyDescent="0.35">
      <c r="A39" s="36" t="s">
        <v>71</v>
      </c>
      <c r="B39" s="76" t="s">
        <v>73</v>
      </c>
      <c r="C39" s="7"/>
      <c r="D39" s="73" t="s">
        <v>72</v>
      </c>
      <c r="E39" s="38">
        <v>802464</v>
      </c>
      <c r="F39" s="75"/>
      <c r="G39" s="37">
        <f>ROUND(E39*$G$9,0)+1</f>
        <v>-29770</v>
      </c>
      <c r="H39" s="38">
        <f t="shared" si="1"/>
        <v>772694</v>
      </c>
      <c r="I39" s="75"/>
      <c r="J39" s="41">
        <f t="shared" si="5"/>
        <v>18536</v>
      </c>
      <c r="K39" s="38">
        <v>791230</v>
      </c>
      <c r="L39" s="75"/>
      <c r="M39" s="37">
        <v>-533500</v>
      </c>
      <c r="N39" s="183">
        <f t="shared" si="3"/>
        <v>257730</v>
      </c>
      <c r="O39" s="185"/>
      <c r="P39" s="155" t="s">
        <v>190</v>
      </c>
      <c r="Q39" s="164" t="s">
        <v>31</v>
      </c>
      <c r="R39" s="176"/>
      <c r="S39" s="134" t="s">
        <v>14</v>
      </c>
      <c r="T39" s="129" t="s">
        <v>13</v>
      </c>
      <c r="U39" s="130" t="s">
        <v>12</v>
      </c>
      <c r="V39" s="200" t="s">
        <v>197</v>
      </c>
      <c r="W39" s="202" t="s">
        <v>197</v>
      </c>
    </row>
    <row r="40" spans="1:23" s="2" customFormat="1" ht="24.95" customHeight="1" x14ac:dyDescent="0.35">
      <c r="A40" s="36" t="s">
        <v>70</v>
      </c>
      <c r="B40" s="2" t="s">
        <v>43</v>
      </c>
      <c r="C40" s="7"/>
      <c r="D40" s="43" t="s">
        <v>69</v>
      </c>
      <c r="E40" s="38">
        <v>375240</v>
      </c>
      <c r="F40" s="42"/>
      <c r="G40" s="37">
        <f>ROUND(E40*$G$9,0)</f>
        <v>-13921</v>
      </c>
      <c r="H40" s="38">
        <f t="shared" si="1"/>
        <v>361319</v>
      </c>
      <c r="I40" s="42"/>
      <c r="J40" s="41">
        <f t="shared" si="5"/>
        <v>8668</v>
      </c>
      <c r="K40" s="38">
        <v>369987</v>
      </c>
      <c r="L40" s="42"/>
      <c r="M40" s="37">
        <v>-12988</v>
      </c>
      <c r="N40" s="183">
        <f t="shared" si="3"/>
        <v>356999</v>
      </c>
      <c r="O40" s="184"/>
      <c r="P40" s="155" t="s">
        <v>191</v>
      </c>
      <c r="Q40" s="164" t="s">
        <v>31</v>
      </c>
      <c r="R40" s="176"/>
      <c r="S40" s="134" t="s">
        <v>68</v>
      </c>
      <c r="T40" s="129" t="s">
        <v>59</v>
      </c>
      <c r="U40" s="130" t="s">
        <v>67</v>
      </c>
      <c r="V40" s="200" t="s">
        <v>197</v>
      </c>
      <c r="W40" s="202" t="s">
        <v>197</v>
      </c>
    </row>
    <row r="41" spans="1:23" s="2" customFormat="1" ht="24.95" customHeight="1" x14ac:dyDescent="0.35">
      <c r="A41" s="36" t="s">
        <v>66</v>
      </c>
      <c r="B41" s="74" t="s">
        <v>65</v>
      </c>
      <c r="C41" s="7"/>
      <c r="D41" s="43" t="s">
        <v>64</v>
      </c>
      <c r="E41" s="38">
        <v>163465</v>
      </c>
      <c r="F41" s="42"/>
      <c r="G41" s="37">
        <f>ROUND(E41*$G$9,0)-1</f>
        <v>-6065</v>
      </c>
      <c r="H41" s="38">
        <f t="shared" si="1"/>
        <v>157400</v>
      </c>
      <c r="I41" s="42"/>
      <c r="J41" s="41">
        <f t="shared" si="5"/>
        <v>-9500</v>
      </c>
      <c r="K41" s="38">
        <v>147900</v>
      </c>
      <c r="L41" s="42"/>
      <c r="M41" s="37">
        <v>-6824</v>
      </c>
      <c r="N41" s="183">
        <f t="shared" si="3"/>
        <v>141076</v>
      </c>
      <c r="O41" s="184"/>
      <c r="P41" s="155" t="s">
        <v>192</v>
      </c>
      <c r="Q41" s="164" t="s">
        <v>31</v>
      </c>
      <c r="R41" s="176"/>
      <c r="S41" s="134" t="s">
        <v>63</v>
      </c>
      <c r="T41" s="129" t="s">
        <v>59</v>
      </c>
      <c r="U41" s="130"/>
      <c r="V41" s="200" t="s">
        <v>197</v>
      </c>
      <c r="W41" s="202" t="s">
        <v>197</v>
      </c>
    </row>
    <row r="42" spans="1:23" s="2" customFormat="1" ht="24.95" customHeight="1" x14ac:dyDescent="0.35">
      <c r="A42" s="36" t="s">
        <v>62</v>
      </c>
      <c r="B42" s="2" t="s">
        <v>43</v>
      </c>
      <c r="C42" s="7"/>
      <c r="D42" s="73" t="s">
        <v>61</v>
      </c>
      <c r="E42" s="38">
        <v>106004</v>
      </c>
      <c r="F42" s="42"/>
      <c r="G42" s="37">
        <f>ROUND(E42*$G$9,0)</f>
        <v>-3933</v>
      </c>
      <c r="H42" s="38">
        <f t="shared" si="1"/>
        <v>102071</v>
      </c>
      <c r="I42" s="42"/>
      <c r="J42" s="41">
        <f t="shared" si="5"/>
        <v>473</v>
      </c>
      <c r="K42" s="38">
        <v>102544</v>
      </c>
      <c r="L42" s="42"/>
      <c r="M42" s="37">
        <v>-4425</v>
      </c>
      <c r="N42" s="183">
        <f t="shared" si="3"/>
        <v>98119</v>
      </c>
      <c r="O42" s="184"/>
      <c r="P42" s="127">
        <v>306004</v>
      </c>
      <c r="Q42" s="164" t="s">
        <v>31</v>
      </c>
      <c r="R42" s="176"/>
      <c r="S42" s="134" t="s">
        <v>60</v>
      </c>
      <c r="T42" s="129" t="s">
        <v>59</v>
      </c>
      <c r="U42" s="130" t="s">
        <v>58</v>
      </c>
      <c r="V42" s="200" t="s">
        <v>197</v>
      </c>
      <c r="W42" s="203" t="s">
        <v>197</v>
      </c>
    </row>
    <row r="43" spans="1:23" s="22" customFormat="1" ht="24.95" customHeight="1" x14ac:dyDescent="0.4">
      <c r="A43" s="29"/>
      <c r="C43" s="28"/>
      <c r="D43" s="72" t="s">
        <v>57</v>
      </c>
      <c r="E43" s="55">
        <f>SUM(E15:E42)</f>
        <v>16778047</v>
      </c>
      <c r="F43" s="54"/>
      <c r="G43" s="55">
        <f>SUM(G15:G42)</f>
        <v>-622454.6</v>
      </c>
      <c r="H43" s="55">
        <f>SUM(H15:H42)</f>
        <v>16155592.4</v>
      </c>
      <c r="I43" s="54"/>
      <c r="J43" s="56">
        <f>SUM(J15:J42)</f>
        <v>-213988.90000000002</v>
      </c>
      <c r="K43" s="55">
        <f>SUM(K15:K42)</f>
        <v>15941603</v>
      </c>
      <c r="L43" s="54"/>
      <c r="M43" s="55">
        <f>SUM(M15:M42)</f>
        <v>-645730</v>
      </c>
      <c r="N43" s="186">
        <f>SUM(N15:N42)</f>
        <v>15295873</v>
      </c>
      <c r="O43" s="187"/>
      <c r="P43" s="136"/>
      <c r="Q43" s="52"/>
      <c r="R43" s="54"/>
      <c r="S43" s="136"/>
      <c r="T43" s="136"/>
      <c r="U43" s="136"/>
      <c r="V43" s="136"/>
      <c r="W43" s="136"/>
    </row>
    <row r="44" spans="1:23" s="2" customFormat="1" ht="24.95" customHeight="1" x14ac:dyDescent="0.4">
      <c r="A44" s="36"/>
      <c r="C44" s="7"/>
      <c r="D44" s="64" t="s">
        <v>56</v>
      </c>
      <c r="E44" s="70"/>
      <c r="F44" s="40"/>
      <c r="G44" s="71"/>
      <c r="H44" s="70"/>
      <c r="I44" s="69"/>
      <c r="J44" s="41"/>
      <c r="K44" s="70"/>
      <c r="L44" s="69"/>
      <c r="M44" s="71"/>
      <c r="N44" s="188"/>
      <c r="O44" s="189"/>
      <c r="P44" s="137"/>
      <c r="Q44" s="167"/>
      <c r="R44" s="69"/>
      <c r="S44" s="137"/>
      <c r="T44" s="137"/>
      <c r="U44" s="137"/>
      <c r="W44" s="137"/>
    </row>
    <row r="45" spans="1:23" s="2" customFormat="1" ht="24.95" customHeight="1" x14ac:dyDescent="0.35">
      <c r="A45" s="36" t="s">
        <v>53</v>
      </c>
      <c r="B45" s="68" t="s">
        <v>55</v>
      </c>
      <c r="C45" s="7"/>
      <c r="D45" s="67" t="s">
        <v>54</v>
      </c>
      <c r="E45" s="38">
        <v>46760</v>
      </c>
      <c r="F45" s="42"/>
      <c r="G45" s="37">
        <f>ROUND(E45*$G$9,0)</f>
        <v>-1735</v>
      </c>
      <c r="H45" s="38">
        <f>E45+G45</f>
        <v>45025</v>
      </c>
      <c r="I45" s="42"/>
      <c r="J45" s="41">
        <f>K45-H45</f>
        <v>1735</v>
      </c>
      <c r="K45" s="38">
        <v>46760</v>
      </c>
      <c r="L45" s="42"/>
      <c r="M45" s="37">
        <v>0</v>
      </c>
      <c r="N45" s="183">
        <f>SUM(K45:M45)</f>
        <v>46760</v>
      </c>
      <c r="O45" s="184"/>
      <c r="P45" s="138" t="s">
        <v>53</v>
      </c>
      <c r="Q45" s="157" t="s">
        <v>31</v>
      </c>
      <c r="R45" s="42"/>
      <c r="S45" s="135" t="s">
        <v>40</v>
      </c>
      <c r="T45" s="130" t="s">
        <v>39</v>
      </c>
      <c r="U45" s="130" t="s">
        <v>38</v>
      </c>
      <c r="V45" s="200" t="s">
        <v>197</v>
      </c>
      <c r="W45" s="202" t="s">
        <v>197</v>
      </c>
    </row>
    <row r="46" spans="1:23" s="2" customFormat="1" ht="24.95" customHeight="1" x14ac:dyDescent="0.35">
      <c r="A46" s="36" t="s">
        <v>52</v>
      </c>
      <c r="B46" s="2" t="s">
        <v>43</v>
      </c>
      <c r="C46" s="7"/>
      <c r="D46" s="67" t="s">
        <v>51</v>
      </c>
      <c r="E46" s="38">
        <v>89134</v>
      </c>
      <c r="F46" s="42"/>
      <c r="G46" s="37">
        <f>ROUND(E46*$G$9,0)</f>
        <v>-3307</v>
      </c>
      <c r="H46" s="38">
        <f>E46+G46</f>
        <v>85827</v>
      </c>
      <c r="I46" s="42"/>
      <c r="J46" s="41">
        <f>K46-H46</f>
        <v>3307</v>
      </c>
      <c r="K46" s="38">
        <v>89134</v>
      </c>
      <c r="L46" s="42"/>
      <c r="M46" s="37">
        <v>0</v>
      </c>
      <c r="N46" s="183">
        <f t="shared" ref="N46:N53" si="6">SUM(K46:M46)</f>
        <v>89134</v>
      </c>
      <c r="O46" s="184"/>
      <c r="P46" s="138">
        <v>670363</v>
      </c>
      <c r="Q46" s="157" t="s">
        <v>31</v>
      </c>
      <c r="R46" s="42"/>
      <c r="S46" s="135" t="s">
        <v>40</v>
      </c>
      <c r="T46" s="130" t="s">
        <v>39</v>
      </c>
      <c r="U46" s="130" t="s">
        <v>38</v>
      </c>
      <c r="V46" s="200" t="s">
        <v>197</v>
      </c>
      <c r="W46" s="202" t="s">
        <v>197</v>
      </c>
    </row>
    <row r="47" spans="1:23" s="2" customFormat="1" ht="24.95" customHeight="1" x14ac:dyDescent="0.4">
      <c r="A47" s="36"/>
      <c r="C47" s="7"/>
      <c r="D47" s="66" t="s">
        <v>50</v>
      </c>
      <c r="E47" s="38"/>
      <c r="F47" s="42"/>
      <c r="G47" s="37"/>
      <c r="H47" s="38"/>
      <c r="I47" s="42"/>
      <c r="J47" s="41"/>
      <c r="K47" s="38"/>
      <c r="L47" s="42"/>
      <c r="M47" s="37"/>
      <c r="N47" s="183"/>
      <c r="O47" s="184"/>
      <c r="P47" s="137"/>
      <c r="Q47" s="167"/>
      <c r="R47" s="42"/>
      <c r="S47" s="137"/>
      <c r="T47" s="137"/>
      <c r="U47" s="139"/>
      <c r="W47" s="139"/>
    </row>
    <row r="48" spans="1:23" s="2" customFormat="1" ht="24.95" customHeight="1" x14ac:dyDescent="0.35">
      <c r="A48" s="36" t="s">
        <v>49</v>
      </c>
      <c r="B48" s="2" t="s">
        <v>43</v>
      </c>
      <c r="C48" s="7"/>
      <c r="D48" s="65" t="s">
        <v>48</v>
      </c>
      <c r="E48" s="38">
        <v>40162</v>
      </c>
      <c r="F48" s="42"/>
      <c r="G48" s="37">
        <f>ROUND(E48*$G$9,0)</f>
        <v>-1490</v>
      </c>
      <c r="H48" s="38">
        <f>E48+G48</f>
        <v>38672</v>
      </c>
      <c r="I48" s="42"/>
      <c r="J48" s="41">
        <f>K48-H48</f>
        <v>1490</v>
      </c>
      <c r="K48" s="38">
        <v>40162</v>
      </c>
      <c r="L48" s="42"/>
      <c r="M48" s="37">
        <v>1844</v>
      </c>
      <c r="N48" s="183">
        <f t="shared" si="6"/>
        <v>42006</v>
      </c>
      <c r="O48" s="184"/>
      <c r="P48" s="138">
        <v>670009</v>
      </c>
      <c r="Q48" s="157" t="s">
        <v>45</v>
      </c>
      <c r="R48" s="42"/>
      <c r="S48" s="135" t="s">
        <v>40</v>
      </c>
      <c r="T48" s="130" t="s">
        <v>39</v>
      </c>
      <c r="U48" s="130" t="s">
        <v>38</v>
      </c>
      <c r="V48" s="200" t="s">
        <v>197</v>
      </c>
      <c r="W48" s="202" t="s">
        <v>197</v>
      </c>
    </row>
    <row r="49" spans="1:23" s="2" customFormat="1" ht="24.95" customHeight="1" x14ac:dyDescent="0.35">
      <c r="A49" s="36" t="s">
        <v>47</v>
      </c>
      <c r="B49" s="2" t="s">
        <v>43</v>
      </c>
      <c r="C49" s="7"/>
      <c r="D49" s="65" t="s">
        <v>46</v>
      </c>
      <c r="E49" s="38">
        <v>850000</v>
      </c>
      <c r="F49" s="42"/>
      <c r="G49" s="37">
        <f>ROUND(E49*$G$9,0)</f>
        <v>-31534</v>
      </c>
      <c r="H49" s="38">
        <f>E49+G49</f>
        <v>818466</v>
      </c>
      <c r="I49" s="42"/>
      <c r="J49" s="41">
        <f>K49-H49</f>
        <v>31534</v>
      </c>
      <c r="K49" s="38">
        <v>850000</v>
      </c>
      <c r="L49" s="42"/>
      <c r="M49" s="37">
        <v>0</v>
      </c>
      <c r="N49" s="183">
        <f t="shared" si="6"/>
        <v>850000</v>
      </c>
      <c r="O49" s="184"/>
      <c r="P49" s="138">
        <v>670371</v>
      </c>
      <c r="Q49" s="157" t="s">
        <v>45</v>
      </c>
      <c r="R49" s="42"/>
      <c r="S49" s="135" t="s">
        <v>40</v>
      </c>
      <c r="T49" s="130" t="s">
        <v>39</v>
      </c>
      <c r="U49" s="130" t="s">
        <v>38</v>
      </c>
      <c r="V49" s="200" t="s">
        <v>197</v>
      </c>
      <c r="W49" s="202" t="s">
        <v>197</v>
      </c>
    </row>
    <row r="50" spans="1:23" s="2" customFormat="1" ht="24.95" customHeight="1" x14ac:dyDescent="0.35">
      <c r="A50" s="36" t="s">
        <v>44</v>
      </c>
      <c r="B50" s="2" t="s">
        <v>43</v>
      </c>
      <c r="C50" s="7"/>
      <c r="D50" s="65" t="s">
        <v>42</v>
      </c>
      <c r="E50" s="38">
        <v>300950</v>
      </c>
      <c r="F50" s="42"/>
      <c r="G50" s="37">
        <f>ROUND(E50*$G$9,0)-1</f>
        <v>-11166</v>
      </c>
      <c r="H50" s="38">
        <f>E50+G50</f>
        <v>289784</v>
      </c>
      <c r="I50" s="42"/>
      <c r="J50" s="41">
        <f>K50-H50</f>
        <v>11166</v>
      </c>
      <c r="K50" s="38">
        <v>300950</v>
      </c>
      <c r="L50" s="42"/>
      <c r="M50" s="37">
        <v>0</v>
      </c>
      <c r="N50" s="183">
        <f t="shared" si="6"/>
        <v>300950</v>
      </c>
      <c r="O50" s="184"/>
      <c r="P50" s="140">
        <v>670373</v>
      </c>
      <c r="Q50" s="168" t="s">
        <v>41</v>
      </c>
      <c r="R50" s="42"/>
      <c r="S50" s="141" t="s">
        <v>40</v>
      </c>
      <c r="T50" s="142" t="s">
        <v>39</v>
      </c>
      <c r="U50" s="130" t="s">
        <v>38</v>
      </c>
      <c r="V50" s="200" t="s">
        <v>197</v>
      </c>
      <c r="W50" s="202" t="s">
        <v>197</v>
      </c>
    </row>
    <row r="51" spans="1:23" s="2" customFormat="1" ht="24.95" customHeight="1" x14ac:dyDescent="0.4">
      <c r="A51" s="36"/>
      <c r="C51" s="7"/>
      <c r="D51" s="64" t="s">
        <v>37</v>
      </c>
      <c r="E51" s="38"/>
      <c r="F51" s="40"/>
      <c r="G51" s="37"/>
      <c r="H51" s="38"/>
      <c r="I51" s="40"/>
      <c r="J51" s="41"/>
      <c r="K51" s="38"/>
      <c r="L51" s="40"/>
      <c r="M51" s="71"/>
      <c r="N51" s="183"/>
      <c r="O51" s="189"/>
      <c r="P51" s="137"/>
      <c r="Q51" s="167"/>
      <c r="R51" s="40"/>
      <c r="S51" s="137"/>
      <c r="T51" s="137"/>
      <c r="U51" s="139"/>
      <c r="W51" s="139"/>
    </row>
    <row r="52" spans="1:23" s="2" customFormat="1" ht="24.95" customHeight="1" x14ac:dyDescent="0.35">
      <c r="A52" s="36" t="s">
        <v>36</v>
      </c>
      <c r="B52" s="63" t="s">
        <v>33</v>
      </c>
      <c r="C52" s="7"/>
      <c r="D52" s="43" t="s">
        <v>35</v>
      </c>
      <c r="E52" s="38">
        <v>2352180</v>
      </c>
      <c r="F52" s="42"/>
      <c r="G52" s="37">
        <f>ROUND(E52*$G$9,0)+1.6</f>
        <v>-87262.399999999994</v>
      </c>
      <c r="H52" s="38">
        <f>E52+G52</f>
        <v>2264917.6</v>
      </c>
      <c r="I52" s="42"/>
      <c r="J52" s="41">
        <f>K52-H52-0.4</f>
        <v>87261.999999999913</v>
      </c>
      <c r="K52" s="38">
        <v>2352180</v>
      </c>
      <c r="L52" s="42"/>
      <c r="M52" s="37">
        <v>0</v>
      </c>
      <c r="N52" s="183">
        <f t="shared" si="6"/>
        <v>2352180</v>
      </c>
      <c r="O52" s="184"/>
      <c r="P52" s="138">
        <v>475019</v>
      </c>
      <c r="Q52" s="157" t="s">
        <v>31</v>
      </c>
      <c r="R52" s="42"/>
      <c r="S52" s="135" t="s">
        <v>30</v>
      </c>
      <c r="T52" s="130" t="s">
        <v>29</v>
      </c>
      <c r="U52" s="130" t="s">
        <v>28</v>
      </c>
      <c r="V52" s="200" t="s">
        <v>197</v>
      </c>
      <c r="W52" s="202" t="s">
        <v>197</v>
      </c>
    </row>
    <row r="53" spans="1:23" s="2" customFormat="1" ht="24.95" customHeight="1" x14ac:dyDescent="0.35">
      <c r="A53" s="36" t="s">
        <v>34</v>
      </c>
      <c r="B53" s="63" t="s">
        <v>33</v>
      </c>
      <c r="C53" s="7"/>
      <c r="D53" s="35" t="s">
        <v>32</v>
      </c>
      <c r="E53" s="33">
        <v>17279317</v>
      </c>
      <c r="F53" s="32"/>
      <c r="G53" s="62">
        <f>ROUND(E53*$G$9,0)</f>
        <v>-641051</v>
      </c>
      <c r="H53" s="33">
        <f>E53+G53</f>
        <v>16638266</v>
      </c>
      <c r="I53" s="32"/>
      <c r="J53" s="34">
        <f>K53-H53</f>
        <v>641051</v>
      </c>
      <c r="K53" s="33">
        <v>17279317</v>
      </c>
      <c r="L53" s="32"/>
      <c r="M53" s="30">
        <v>0</v>
      </c>
      <c r="N53" s="190">
        <f t="shared" si="6"/>
        <v>17279317</v>
      </c>
      <c r="O53" s="191"/>
      <c r="P53" s="143">
        <v>475055</v>
      </c>
      <c r="Q53" s="169" t="s">
        <v>31</v>
      </c>
      <c r="R53" s="32"/>
      <c r="S53" s="144" t="s">
        <v>30</v>
      </c>
      <c r="T53" s="145" t="s">
        <v>29</v>
      </c>
      <c r="U53" s="145" t="s">
        <v>28</v>
      </c>
      <c r="V53" s="204" t="s">
        <v>197</v>
      </c>
      <c r="W53" s="203" t="s">
        <v>197</v>
      </c>
    </row>
    <row r="54" spans="1:23" s="2" customFormat="1" ht="24.95" customHeight="1" x14ac:dyDescent="0.4">
      <c r="A54" s="36"/>
      <c r="C54" s="7"/>
      <c r="D54" s="61" t="s">
        <v>27</v>
      </c>
      <c r="E54" s="60">
        <f>SUM(E45:E53)</f>
        <v>20958503</v>
      </c>
      <c r="F54" s="23"/>
      <c r="G54" s="24">
        <f>SUM(G45:G53)</f>
        <v>-777545.4</v>
      </c>
      <c r="H54" s="60">
        <f>SUM(H45:H53)</f>
        <v>20180957.600000001</v>
      </c>
      <c r="I54" s="23"/>
      <c r="J54" s="24">
        <f>SUM(J45:J53)</f>
        <v>777544.99999999988</v>
      </c>
      <c r="K54" s="60">
        <f>SUM(K45:K53)</f>
        <v>20958503</v>
      </c>
      <c r="L54" s="23"/>
      <c r="M54" s="59">
        <f>SUM(M45:M53)</f>
        <v>1844</v>
      </c>
      <c r="N54" s="192">
        <f>SUM(N45:N53)</f>
        <v>20960347</v>
      </c>
      <c r="O54" s="193"/>
      <c r="P54" s="146"/>
      <c r="Q54" s="26"/>
      <c r="R54" s="23"/>
      <c r="S54" s="146"/>
      <c r="T54" s="146"/>
      <c r="U54" s="146"/>
      <c r="V54" s="146"/>
      <c r="W54" s="146"/>
    </row>
    <row r="55" spans="1:23" s="51" customFormat="1" ht="24.95" customHeight="1" x14ac:dyDescent="0.4">
      <c r="A55" s="58"/>
      <c r="C55" s="28"/>
      <c r="D55" s="57" t="s">
        <v>26</v>
      </c>
      <c r="E55" s="55">
        <f>E43+E54</f>
        <v>37736550</v>
      </c>
      <c r="F55" s="54"/>
      <c r="G55" s="56">
        <f>G43+G54</f>
        <v>-1400000</v>
      </c>
      <c r="H55" s="55">
        <f>H43+H54</f>
        <v>36336550</v>
      </c>
      <c r="I55" s="54"/>
      <c r="J55" s="56">
        <f>J43+J54</f>
        <v>563556.09999999986</v>
      </c>
      <c r="K55" s="55">
        <f>K43+K54</f>
        <v>36900106</v>
      </c>
      <c r="L55" s="54"/>
      <c r="M55" s="53">
        <f>M43+M54</f>
        <v>-643886</v>
      </c>
      <c r="N55" s="186">
        <f>N43+N54</f>
        <v>36256220</v>
      </c>
      <c r="O55" s="187"/>
      <c r="P55" s="136"/>
      <c r="Q55" s="52"/>
      <c r="R55" s="54"/>
      <c r="S55" s="136"/>
      <c r="T55" s="136"/>
      <c r="U55" s="136"/>
      <c r="V55" s="136"/>
      <c r="W55" s="136"/>
    </row>
    <row r="56" spans="1:23" s="2" customFormat="1" ht="24.95" customHeight="1" x14ac:dyDescent="0.4">
      <c r="A56" s="36"/>
      <c r="C56" s="7"/>
      <c r="D56" s="50" t="s">
        <v>25</v>
      </c>
      <c r="E56" s="49"/>
      <c r="F56" s="46"/>
      <c r="G56" s="47"/>
      <c r="H56" s="49"/>
      <c r="I56" s="46"/>
      <c r="J56" s="48"/>
      <c r="K56" s="49"/>
      <c r="L56" s="46"/>
      <c r="M56" s="47"/>
      <c r="N56" s="194"/>
      <c r="O56" s="195"/>
      <c r="P56" s="137"/>
      <c r="Q56" s="167"/>
      <c r="R56" s="46"/>
      <c r="S56" s="137"/>
      <c r="T56" s="137"/>
      <c r="U56" s="137"/>
      <c r="W56" s="137"/>
    </row>
    <row r="57" spans="1:23" s="2" customFormat="1" ht="24.95" customHeight="1" x14ac:dyDescent="0.35">
      <c r="A57" s="36"/>
      <c r="C57" s="7"/>
      <c r="D57" s="44" t="s">
        <v>201</v>
      </c>
      <c r="E57" s="38">
        <v>0</v>
      </c>
      <c r="F57" s="46"/>
      <c r="G57" s="41">
        <v>0</v>
      </c>
      <c r="H57" s="38">
        <v>0</v>
      </c>
      <c r="I57" s="42"/>
      <c r="J57" s="39">
        <f>K57-H57</f>
        <v>25000</v>
      </c>
      <c r="K57" s="38">
        <v>25000</v>
      </c>
      <c r="L57" s="42"/>
      <c r="M57" s="37">
        <v>0</v>
      </c>
      <c r="N57" s="183">
        <f>SUM(K57:M57)</f>
        <v>25000</v>
      </c>
      <c r="O57" s="195"/>
      <c r="P57" s="138" t="s">
        <v>196</v>
      </c>
      <c r="Q57" s="157">
        <v>1120</v>
      </c>
      <c r="R57" s="42"/>
      <c r="S57" s="135" t="s">
        <v>203</v>
      </c>
      <c r="T57" s="130" t="s">
        <v>204</v>
      </c>
      <c r="U57" s="130" t="s">
        <v>202</v>
      </c>
      <c r="V57" s="200" t="s">
        <v>198</v>
      </c>
      <c r="W57" s="202">
        <v>1160</v>
      </c>
    </row>
    <row r="58" spans="1:23" s="2" customFormat="1" ht="24.95" customHeight="1" x14ac:dyDescent="0.35">
      <c r="A58" s="36"/>
      <c r="C58" s="7"/>
      <c r="D58" s="44" t="s">
        <v>24</v>
      </c>
      <c r="E58" s="38">
        <v>0</v>
      </c>
      <c r="F58" s="46"/>
      <c r="G58" s="41">
        <v>0</v>
      </c>
      <c r="H58" s="38">
        <v>0</v>
      </c>
      <c r="I58" s="42"/>
      <c r="J58" s="39">
        <f>K58-H58</f>
        <v>5000</v>
      </c>
      <c r="K58" s="38">
        <v>5000</v>
      </c>
      <c r="L58" s="42"/>
      <c r="M58" s="37">
        <v>0</v>
      </c>
      <c r="N58" s="183">
        <f t="shared" ref="N58:N66" si="7">SUM(K58:M58)</f>
        <v>5000</v>
      </c>
      <c r="O58" s="195"/>
      <c r="P58" s="138" t="s">
        <v>94</v>
      </c>
      <c r="Q58" s="157">
        <v>1120</v>
      </c>
      <c r="R58" s="42"/>
      <c r="S58" s="134" t="s">
        <v>92</v>
      </c>
      <c r="T58" s="129" t="s">
        <v>91</v>
      </c>
      <c r="U58" s="130" t="s">
        <v>90</v>
      </c>
      <c r="V58" s="200" t="s">
        <v>198</v>
      </c>
      <c r="W58" s="205" t="s">
        <v>199</v>
      </c>
    </row>
    <row r="59" spans="1:23" s="2" customFormat="1" ht="24.95" customHeight="1" x14ac:dyDescent="0.35">
      <c r="A59" s="36"/>
      <c r="C59" s="7"/>
      <c r="D59" s="44" t="s">
        <v>23</v>
      </c>
      <c r="E59" s="38">
        <v>40000</v>
      </c>
      <c r="F59" s="42"/>
      <c r="G59" s="41">
        <v>0</v>
      </c>
      <c r="H59" s="38">
        <v>0</v>
      </c>
      <c r="I59" s="42"/>
      <c r="J59" s="39">
        <v>0</v>
      </c>
      <c r="K59" s="38">
        <v>0</v>
      </c>
      <c r="L59" s="42"/>
      <c r="M59" s="37">
        <v>0</v>
      </c>
      <c r="N59" s="183">
        <f t="shared" si="7"/>
        <v>0</v>
      </c>
      <c r="O59" s="184"/>
      <c r="P59" s="147">
        <v>670906</v>
      </c>
      <c r="Q59" s="170">
        <v>1660</v>
      </c>
      <c r="R59" s="42"/>
      <c r="S59" s="148" t="s">
        <v>22</v>
      </c>
      <c r="T59" s="148" t="s">
        <v>21</v>
      </c>
      <c r="U59" s="148" t="s">
        <v>20</v>
      </c>
      <c r="V59" s="200" t="s">
        <v>197</v>
      </c>
      <c r="W59" s="202" t="s">
        <v>197</v>
      </c>
    </row>
    <row r="60" spans="1:23" s="2" customFormat="1" ht="24.95" customHeight="1" x14ac:dyDescent="0.35">
      <c r="A60" s="36"/>
      <c r="C60" s="7"/>
      <c r="D60" s="45" t="s">
        <v>19</v>
      </c>
      <c r="E60" s="38">
        <v>95000</v>
      </c>
      <c r="F60" s="42"/>
      <c r="G60" s="41">
        <v>0</v>
      </c>
      <c r="H60" s="38">
        <v>0</v>
      </c>
      <c r="I60" s="42"/>
      <c r="J60" s="39">
        <f>K60-H60</f>
        <v>41750</v>
      </c>
      <c r="K60" s="38">
        <v>41750</v>
      </c>
      <c r="L60" s="42"/>
      <c r="M60" s="37">
        <v>0</v>
      </c>
      <c r="N60" s="183">
        <f t="shared" si="7"/>
        <v>41750</v>
      </c>
      <c r="O60" s="184"/>
      <c r="P60" s="149">
        <v>252014</v>
      </c>
      <c r="Q60" s="171">
        <v>1120</v>
      </c>
      <c r="R60" s="42"/>
      <c r="S60" s="148" t="s">
        <v>10</v>
      </c>
      <c r="T60" s="148" t="s">
        <v>18</v>
      </c>
      <c r="U60" s="148" t="s">
        <v>17</v>
      </c>
      <c r="V60" s="200" t="s">
        <v>198</v>
      </c>
      <c r="W60" s="202">
        <v>1160</v>
      </c>
    </row>
    <row r="61" spans="1:23" s="2" customFormat="1" ht="24.95" customHeight="1" x14ac:dyDescent="0.35">
      <c r="A61" s="36"/>
      <c r="C61" s="7"/>
      <c r="D61" s="44" t="s">
        <v>16</v>
      </c>
      <c r="E61" s="38">
        <v>15000</v>
      </c>
      <c r="F61" s="42"/>
      <c r="G61" s="41">
        <v>0</v>
      </c>
      <c r="H61" s="38">
        <v>0</v>
      </c>
      <c r="I61" s="40"/>
      <c r="J61" s="39">
        <v>0</v>
      </c>
      <c r="K61" s="38">
        <v>0</v>
      </c>
      <c r="L61" s="40"/>
      <c r="M61" s="37">
        <v>0</v>
      </c>
      <c r="N61" s="183">
        <f t="shared" si="7"/>
        <v>0</v>
      </c>
      <c r="O61" s="184"/>
      <c r="P61" s="138" t="s">
        <v>15</v>
      </c>
      <c r="Q61" s="157">
        <v>1660</v>
      </c>
      <c r="R61" s="40"/>
      <c r="S61" s="135" t="s">
        <v>14</v>
      </c>
      <c r="T61" s="130" t="s">
        <v>13</v>
      </c>
      <c r="U61" s="130" t="s">
        <v>12</v>
      </c>
      <c r="V61" s="200" t="s">
        <v>197</v>
      </c>
      <c r="W61" s="202" t="s">
        <v>197</v>
      </c>
    </row>
    <row r="62" spans="1:23" s="2" customFormat="1" ht="24.95" customHeight="1" x14ac:dyDescent="0.35">
      <c r="A62" s="36"/>
      <c r="C62" s="7"/>
      <c r="D62" s="43" t="s">
        <v>11</v>
      </c>
      <c r="E62" s="38">
        <v>5000</v>
      </c>
      <c r="F62" s="42"/>
      <c r="G62" s="41">
        <v>0</v>
      </c>
      <c r="H62" s="38">
        <v>0</v>
      </c>
      <c r="I62" s="42"/>
      <c r="J62" s="39">
        <v>0</v>
      </c>
      <c r="K62" s="38">
        <v>0</v>
      </c>
      <c r="L62" s="42"/>
      <c r="M62" s="37">
        <v>0</v>
      </c>
      <c r="N62" s="183">
        <f t="shared" si="7"/>
        <v>0</v>
      </c>
      <c r="O62" s="184"/>
      <c r="P62" s="138">
        <v>235000</v>
      </c>
      <c r="Q62" s="157">
        <v>1120</v>
      </c>
      <c r="R62" s="42"/>
      <c r="S62" s="135" t="s">
        <v>10</v>
      </c>
      <c r="T62" s="130" t="s">
        <v>9</v>
      </c>
      <c r="U62" s="130" t="s">
        <v>8</v>
      </c>
      <c r="V62" s="200" t="s">
        <v>197</v>
      </c>
      <c r="W62" s="202" t="s">
        <v>197</v>
      </c>
    </row>
    <row r="63" spans="1:23" s="2" customFormat="1" ht="24.95" customHeight="1" x14ac:dyDescent="0.35">
      <c r="A63" s="36"/>
      <c r="C63" s="7"/>
      <c r="D63" s="43" t="s">
        <v>7</v>
      </c>
      <c r="E63" s="38">
        <v>2000</v>
      </c>
      <c r="F63" s="42"/>
      <c r="G63" s="41">
        <v>0</v>
      </c>
      <c r="H63" s="38">
        <v>0</v>
      </c>
      <c r="I63" s="40"/>
      <c r="J63" s="39">
        <v>0</v>
      </c>
      <c r="K63" s="38">
        <v>0</v>
      </c>
      <c r="L63" s="40"/>
      <c r="M63" s="37">
        <v>0</v>
      </c>
      <c r="N63" s="183">
        <f t="shared" si="7"/>
        <v>0</v>
      </c>
      <c r="O63" s="184"/>
      <c r="P63" s="149">
        <v>670374</v>
      </c>
      <c r="Q63" s="171">
        <v>1120</v>
      </c>
      <c r="R63" s="40"/>
      <c r="S63" s="150"/>
      <c r="T63" s="150" t="s">
        <v>6</v>
      </c>
      <c r="U63" s="137"/>
      <c r="V63" s="200" t="s">
        <v>197</v>
      </c>
      <c r="W63" s="202" t="s">
        <v>197</v>
      </c>
    </row>
    <row r="64" spans="1:23" s="2" customFormat="1" ht="24.95" customHeight="1" x14ac:dyDescent="0.35">
      <c r="A64" s="36"/>
      <c r="C64" s="7"/>
      <c r="D64" s="35" t="s">
        <v>5</v>
      </c>
      <c r="E64" s="33">
        <v>17788</v>
      </c>
      <c r="F64" s="32"/>
      <c r="G64" s="34">
        <v>0</v>
      </c>
      <c r="H64" s="33">
        <v>0</v>
      </c>
      <c r="I64" s="32"/>
      <c r="J64" s="31">
        <v>0</v>
      </c>
      <c r="K64" s="33">
        <v>0</v>
      </c>
      <c r="L64" s="32"/>
      <c r="M64" s="30">
        <v>0</v>
      </c>
      <c r="N64" s="190">
        <f t="shared" si="7"/>
        <v>0</v>
      </c>
      <c r="O64" s="191"/>
      <c r="P64" s="151">
        <v>821640</v>
      </c>
      <c r="Q64" s="172">
        <v>1660</v>
      </c>
      <c r="R64" s="32"/>
      <c r="S64" s="152" t="s">
        <v>4</v>
      </c>
      <c r="T64" s="152" t="s">
        <v>3</v>
      </c>
      <c r="U64" s="153" t="s">
        <v>2</v>
      </c>
      <c r="V64" s="204" t="s">
        <v>197</v>
      </c>
      <c r="W64" s="203" t="s">
        <v>197</v>
      </c>
    </row>
    <row r="65" spans="1:23" s="22" customFormat="1" ht="24.95" customHeight="1" x14ac:dyDescent="0.4">
      <c r="A65" s="29"/>
      <c r="C65" s="28"/>
      <c r="D65" s="27" t="s">
        <v>1</v>
      </c>
      <c r="E65" s="25">
        <f>SUM(E59:E64)</f>
        <v>174788</v>
      </c>
      <c r="F65" s="23"/>
      <c r="G65" s="26">
        <f>SUM(G59:G64)</f>
        <v>0</v>
      </c>
      <c r="H65" s="25">
        <f>SUM(H59:H64)</f>
        <v>0</v>
      </c>
      <c r="I65" s="23"/>
      <c r="J65" s="24">
        <f>SUM(J57:J64)</f>
        <v>71750</v>
      </c>
      <c r="K65" s="25">
        <f>SUM(K56:K64)</f>
        <v>71750</v>
      </c>
      <c r="L65" s="23"/>
      <c r="M65" s="59">
        <f>SUM(M56:M64)</f>
        <v>0</v>
      </c>
      <c r="N65" s="196">
        <f t="shared" si="7"/>
        <v>71750</v>
      </c>
      <c r="O65" s="197"/>
      <c r="P65" s="23"/>
      <c r="Q65" s="173"/>
      <c r="R65" s="23"/>
      <c r="S65" s="23"/>
      <c r="T65" s="23"/>
      <c r="U65" s="23"/>
      <c r="V65" s="23"/>
      <c r="W65" s="23"/>
    </row>
    <row r="66" spans="1:23" ht="24.95" customHeight="1" thickBot="1" x14ac:dyDescent="0.45">
      <c r="C66" s="7"/>
      <c r="D66" s="21" t="s">
        <v>0</v>
      </c>
      <c r="E66" s="18">
        <f>E55+E65</f>
        <v>37911338</v>
      </c>
      <c r="F66" s="17"/>
      <c r="G66" s="20">
        <f>G55+G65</f>
        <v>-1400000</v>
      </c>
      <c r="H66" s="18">
        <f>H55+H65</f>
        <v>36336550</v>
      </c>
      <c r="I66" s="17"/>
      <c r="J66" s="19">
        <f>J55+J65</f>
        <v>635306.09999999986</v>
      </c>
      <c r="K66" s="18">
        <f>K55+K65</f>
        <v>36971856</v>
      </c>
      <c r="L66" s="17"/>
      <c r="M66" s="16">
        <f>M55+M65</f>
        <v>-643886</v>
      </c>
      <c r="N66" s="198">
        <f t="shared" si="7"/>
        <v>36327970</v>
      </c>
      <c r="O66" s="199"/>
      <c r="P66" s="17"/>
      <c r="Q66" s="174"/>
      <c r="R66" s="17"/>
      <c r="S66" s="17"/>
      <c r="T66" s="17"/>
      <c r="U66" s="17"/>
      <c r="V66" s="17"/>
      <c r="W66" s="17"/>
    </row>
    <row r="67" spans="1:23" s="9" customFormat="1" ht="15" customHeight="1" thickTop="1" x14ac:dyDescent="0.35">
      <c r="A67" s="15"/>
      <c r="C67" s="7"/>
      <c r="D67" s="12"/>
      <c r="E67" s="14"/>
      <c r="F67" s="12"/>
      <c r="G67" s="12"/>
      <c r="H67" s="14"/>
      <c r="I67" s="13"/>
      <c r="J67" s="11"/>
      <c r="K67" s="6"/>
      <c r="L67" s="12"/>
      <c r="M67" s="12"/>
      <c r="N67" s="11"/>
      <c r="O67" s="10"/>
      <c r="P67" s="154"/>
      <c r="Q67" s="154"/>
      <c r="R67" s="13"/>
      <c r="S67" s="154"/>
      <c r="T67" s="154"/>
      <c r="U67" s="154"/>
    </row>
  </sheetData>
  <mergeCells count="14">
    <mergeCell ref="V10:W12"/>
    <mergeCell ref="J11:L11"/>
    <mergeCell ref="E12:E13"/>
    <mergeCell ref="H12:H13"/>
    <mergeCell ref="D5:Q5"/>
    <mergeCell ref="D6:Q6"/>
    <mergeCell ref="B7:Q7"/>
    <mergeCell ref="N12:O13"/>
    <mergeCell ref="K12:L13"/>
    <mergeCell ref="M11:O11"/>
    <mergeCell ref="E11:H11"/>
    <mergeCell ref="E10:I10"/>
    <mergeCell ref="J10:K10"/>
    <mergeCell ref="M10:O10"/>
  </mergeCells>
  <printOptions horizontalCentered="1"/>
  <pageMargins left="0" right="0" top="0.25" bottom="0" header="0.25" footer="0.25"/>
  <pageSetup scale="42" orientation="landscape" r:id="rId1"/>
  <headerFooter>
    <oddFooter>&amp;L&amp;F</oddFooter>
  </headerFooter>
  <rowBreaks count="2" manualBreakCount="2">
    <brk id="43" max="16383" man="1"/>
    <brk id="67" min="3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FY20 Student Fees_BudgetBook</vt:lpstr>
      <vt:lpstr>FY22_Requests</vt:lpstr>
      <vt:lpstr>FY19 Student Fees</vt:lpstr>
      <vt:lpstr>'FY19 Student Fees'!Print_Area</vt:lpstr>
      <vt:lpstr>'FY20 Student Fees_BudgetBook'!Print_Area</vt:lpstr>
      <vt:lpstr>FY22_Requests!Print_Area</vt:lpstr>
      <vt:lpstr>'FY19 Student Fees'!Print_Titles</vt:lpstr>
      <vt:lpstr>'FY20 Student Fees_BudgetBook'!Print_Titles</vt:lpstr>
      <vt:lpstr>FY22_Requests!Print_Titles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%username%</cp:lastModifiedBy>
  <cp:lastPrinted>2020-10-26T21:02:06Z</cp:lastPrinted>
  <dcterms:created xsi:type="dcterms:W3CDTF">2018-03-25T23:16:47Z</dcterms:created>
  <dcterms:modified xsi:type="dcterms:W3CDTF">2020-10-26T21:07:16Z</dcterms:modified>
</cp:coreProperties>
</file>